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45" windowWidth="11355" windowHeight="8145" activeTab="0"/>
  </bookViews>
  <sheets>
    <sheet name="2003-2013" sheetId="1" r:id="rId1"/>
    <sheet name="01-12 Assessed Value Chg" sheetId="2" r:id="rId2"/>
    <sheet name="Last 5 yrs Assessed Values" sheetId="3" r:id="rId3"/>
    <sheet name="Hays Co-in KCL" sheetId="4" r:id="rId4"/>
    <sheet name="Offical Statement-Coll %" sheetId="5" r:id="rId5"/>
  </sheets>
  <definedNames>
    <definedName name="_xlfn.PERCENTILE.EXC" hidden="1">#NAME?</definedName>
    <definedName name="_xlnm.Print_Area" localSheetId="0">'2003-2013'!$A$1:$BD$39</definedName>
  </definedNames>
  <calcPr fullCalcOnLoad="1"/>
</workbook>
</file>

<file path=xl/sharedStrings.xml><?xml version="1.0" encoding="utf-8"?>
<sst xmlns="http://schemas.openxmlformats.org/spreadsheetml/2006/main" count="490" uniqueCount="126">
  <si>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</si>
  <si>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</si>
  <si>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</si>
  <si>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</si>
  <si>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</si>
  <si>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</si>
  <si>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</si>
  <si>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</si>
  <si>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</si>
  <si>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</si>
  <si>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</si>
  <si>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</si>
  <si>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FY 2008</t>
  </si>
  <si>
    <t>Current Collected</t>
  </si>
  <si>
    <t>YTD Collections</t>
  </si>
  <si>
    <t>Adj Original Roll</t>
  </si>
  <si>
    <t>FY 2007</t>
  </si>
  <si>
    <t>FY 2006</t>
  </si>
  <si>
    <t>Report missing</t>
  </si>
  <si>
    <t>Not actual "Adj. Original Roll" Amount</t>
  </si>
  <si>
    <t>Amount that posted to G/L is different than the actual current collected on the report.</t>
  </si>
  <si>
    <t>Posted to G/L Current Collected</t>
  </si>
  <si>
    <t>Hays Co Current Collected</t>
  </si>
  <si>
    <t>% Collected</t>
  </si>
  <si>
    <t>FY 2009</t>
  </si>
  <si>
    <t>Breakdown of January 2008</t>
  </si>
  <si>
    <t>1/1-1/15/08</t>
  </si>
  <si>
    <t>Credits &amp; Variances</t>
  </si>
  <si>
    <t>Totals</t>
  </si>
  <si>
    <t>Breakdown of January 2009</t>
  </si>
  <si>
    <t>1/1-1/15/09</t>
  </si>
  <si>
    <t>Oct - Dec</t>
  </si>
  <si>
    <t>variance</t>
  </si>
  <si>
    <t>1/1 to current</t>
  </si>
  <si>
    <t>2/1-2/2</t>
  </si>
  <si>
    <t>sub-total</t>
  </si>
  <si>
    <t>Total YTD</t>
  </si>
  <si>
    <t>no report - added to 1/31 total in error per county</t>
  </si>
  <si>
    <t>Oct - Jan</t>
  </si>
  <si>
    <t>subtotal</t>
  </si>
  <si>
    <t>Breakdown of February 2009</t>
  </si>
  <si>
    <t>2/2 to 2/27</t>
  </si>
  <si>
    <t>Adj. Original Roll</t>
  </si>
  <si>
    <t>FY 2010</t>
  </si>
  <si>
    <t>Month</t>
  </si>
  <si>
    <t>12/1-12/15</t>
  </si>
  <si>
    <t>12/1 to current</t>
  </si>
  <si>
    <t>Oct - Nov</t>
  </si>
  <si>
    <t>Breakdown of December 2009</t>
  </si>
  <si>
    <t>Breakdown of January 2010</t>
  </si>
  <si>
    <t>Oct-Dec</t>
  </si>
  <si>
    <t>Missing these figures on report-estimated</t>
  </si>
  <si>
    <t>Breakdown of February 2010</t>
  </si>
  <si>
    <t>Oct-Jan</t>
  </si>
  <si>
    <t>Feb Sub-Total</t>
  </si>
  <si>
    <t>Discount allowed</t>
  </si>
  <si>
    <t>diff</t>
  </si>
  <si>
    <t xml:space="preserve">Tax Year </t>
  </si>
  <si>
    <t>FY 2011</t>
  </si>
  <si>
    <t>Breakdown of December 2010</t>
  </si>
  <si>
    <t>Dec Total</t>
  </si>
  <si>
    <t>Breakdown of January 2011</t>
  </si>
  <si>
    <t>Jan Total</t>
  </si>
  <si>
    <t>Uncollected</t>
  </si>
  <si>
    <t>Breakdown of December 2011</t>
  </si>
  <si>
    <t>12/1-12/5/11</t>
  </si>
  <si>
    <t>FY 2012</t>
  </si>
  <si>
    <t>Breakdown of January 2012</t>
  </si>
  <si>
    <t>Current YTD Collections</t>
  </si>
  <si>
    <t>Adjusted Original Roll</t>
  </si>
  <si>
    <t>% Change from Prior Year</t>
  </si>
  <si>
    <t>$ Change from Prior Year</t>
  </si>
  <si>
    <t>CITY OF KYLE - TOTAL ASSESSED VALUE OF PROPERTY</t>
  </si>
  <si>
    <t>Breakdown of February 2012</t>
  </si>
  <si>
    <t>Assessment Year</t>
  </si>
  <si>
    <t>FY Collected</t>
  </si>
  <si>
    <t>2/16-2/29</t>
  </si>
  <si>
    <t>FY 2013</t>
  </si>
  <si>
    <t>2001-2012</t>
  </si>
  <si>
    <t>Breakdown of December 2012</t>
  </si>
  <si>
    <t>FY '12 COLL</t>
  </si>
  <si>
    <t>Current Uncollected</t>
  </si>
  <si>
    <t>FY '11 COLL</t>
  </si>
  <si>
    <t>FY '10 COLL</t>
  </si>
  <si>
    <t>FY '09 COLL</t>
  </si>
  <si>
    <t>FY '08 COLL</t>
  </si>
  <si>
    <t>FY'07 COLL</t>
  </si>
  <si>
    <t>FY'08 COLL</t>
  </si>
  <si>
    <t>FY '13 COLL</t>
  </si>
  <si>
    <t>Breakdown of January 2013</t>
  </si>
  <si>
    <t>FY 2005</t>
  </si>
  <si>
    <t>Report Missing</t>
  </si>
  <si>
    <t>FY'06 COLL</t>
  </si>
  <si>
    <t>FY 2004</t>
  </si>
  <si>
    <t>FY'05 COLL</t>
  </si>
  <si>
    <t>Fiscal Year Ending</t>
  </si>
  <si>
    <t>Residential</t>
  </si>
  <si>
    <t>Commercial</t>
  </si>
  <si>
    <t>Industrial</t>
  </si>
  <si>
    <t>Grand Total Tax Assessed Value</t>
  </si>
  <si>
    <t>FY 2003</t>
  </si>
  <si>
    <t>FY'04 COLL</t>
  </si>
  <si>
    <t>Total Taxable Property Value $604,487,640</t>
  </si>
  <si>
    <t>Total Taxable Property Value $437,415,914</t>
  </si>
  <si>
    <t>Total Taxable Property Value $302,612,947</t>
  </si>
  <si>
    <t>Total Assessed Value of Property (Certified)</t>
  </si>
  <si>
    <t>Total Taxable Property Value $1,460,041,460</t>
  </si>
  <si>
    <t>Total Taxable Property Value $1,427,789,816</t>
  </si>
  <si>
    <t>Total Taxable Property Value $1,384,572,929</t>
  </si>
  <si>
    <t>Total Taxable Property Value $1,325,830,993</t>
  </si>
  <si>
    <t>Total Taxable Property Value $1,256,815,643</t>
  </si>
  <si>
    <t>Total Taxable Property Value $1,101,701,309</t>
  </si>
  <si>
    <t>Total Taxable Property Value $926,776,344</t>
  </si>
  <si>
    <t>Total Taxable Property Value $782,254,681</t>
  </si>
  <si>
    <t>TOTAL TAXABLE PROPERTY VALUE IS BASED ON THE JULY 25TH CERTIFIED DOCUMENT FROM THE HCAD.</t>
  </si>
  <si>
    <t>Less Adj Roll over the years</t>
  </si>
  <si>
    <t>HAYS COUNTY - PROPERTY TAX COLLECTED IN KYLE CITY LIMITS</t>
  </si>
  <si>
    <t>YEAR</t>
  </si>
  <si>
    <t>HAYS CO TAX RATE</t>
  </si>
  <si>
    <t>AMOUNT COLLECTED</t>
  </si>
  <si>
    <t xml:space="preserve">TOTAL COLLECTED </t>
  </si>
  <si>
    <t>TOTAL TAXABLE ASSESSED PROPERTY VALUE-CERTIFIED</t>
  </si>
  <si>
    <t>FISCAL YEAR</t>
  </si>
  <si>
    <t>PERCENTAGE</t>
  </si>
  <si>
    <t>OFFICIAL STATEMENT - PROPERTY TAX COLLECTION PERCENTAGES</t>
  </si>
  <si>
    <t>Average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</si>
</sst>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m/d;@"/>
    <numFmt numFmtId="167" formatCode="m/d/yy;@"/>
    <numFmt numFmtId="168" formatCode="yyyy"/>
    <numFmt numFmtId="169" formatCode="[$-409]h:mm:ss\ AM/PM"/>
    <numFmt numFmtId="170" formatCode="0.0000%"/>
    <numFmt numFmtId="171" formatCode="0.0000000000000%"/>
  </numFmts>
  <fonts count="2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6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24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/>
    </xf>
    <xf numFmtId="10" fontId="0" fillId="0" borderId="12" xfId="0" applyNumberFormat="1" applyBorder="1" applyAlignment="1">
      <alignment horizontal="center"/>
    </xf>
    <xf numFmtId="0" fontId="0" fillId="0" borderId="0" xfId="0" applyAlignment="1">
      <alignment horizontal="left"/>
    </xf>
    <xf numFmtId="10" fontId="0" fillId="0" borderId="12" xfId="0" applyNumberFormat="1" applyFill="1" applyBorder="1" applyAlignment="1">
      <alignment horizontal="center"/>
    </xf>
    <xf numFmtId="0" fontId="0" fillId="14" borderId="10" xfId="0" applyFill="1" applyBorder="1" applyAlignment="1">
      <alignment horizontal="center" wrapText="1"/>
    </xf>
    <xf numFmtId="10" fontId="0" fillId="24" borderId="12" xfId="0" applyNumberFormat="1" applyFill="1" applyBorder="1" applyAlignment="1">
      <alignment horizontal="center"/>
    </xf>
    <xf numFmtId="39" fontId="0" fillId="0" borderId="0" xfId="0" applyNumberFormat="1" applyAlignment="1">
      <alignment horizontal="center"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/>
    </xf>
    <xf numFmtId="39" fontId="0" fillId="0" borderId="0" xfId="0" applyNumberFormat="1" applyBorder="1" applyAlignment="1">
      <alignment horizontal="center"/>
    </xf>
    <xf numFmtId="14" fontId="0" fillId="0" borderId="14" xfId="0" applyNumberFormat="1" applyBorder="1" applyAlignment="1">
      <alignment horizontal="center"/>
    </xf>
    <xf numFmtId="14" fontId="0" fillId="0" borderId="15" xfId="0" applyNumberFormat="1" applyBorder="1" applyAlignment="1">
      <alignment horizontal="center"/>
    </xf>
    <xf numFmtId="39" fontId="0" fillId="0" borderId="10" xfId="0" applyNumberFormat="1" applyBorder="1" applyAlignment="1">
      <alignment horizontal="center"/>
    </xf>
    <xf numFmtId="10" fontId="0" fillId="0" borderId="11" xfId="0" applyNumberFormat="1" applyBorder="1" applyAlignment="1">
      <alignment horizontal="center"/>
    </xf>
    <xf numFmtId="0" fontId="0" fillId="10" borderId="12" xfId="0" applyFill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14" fontId="0" fillId="0" borderId="14" xfId="0" applyNumberFormat="1" applyFill="1" applyBorder="1" applyAlignment="1">
      <alignment horizontal="center"/>
    </xf>
    <xf numFmtId="0" fontId="0" fillId="10" borderId="0" xfId="0" applyFill="1" applyAlignment="1">
      <alignment/>
    </xf>
    <xf numFmtId="0" fontId="0" fillId="0" borderId="0" xfId="0" applyBorder="1" applyAlignment="1">
      <alignment horizontal="center"/>
    </xf>
    <xf numFmtId="0" fontId="0" fillId="10" borderId="0" xfId="0" applyFill="1" applyAlignment="1">
      <alignment horizontal="center"/>
    </xf>
    <xf numFmtId="39" fontId="0" fillId="0" borderId="0" xfId="0" applyNumberFormat="1" applyAlignment="1">
      <alignment/>
    </xf>
    <xf numFmtId="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10" fontId="0" fillId="0" borderId="11" xfId="0" applyNumberFormat="1" applyFill="1" applyBorder="1" applyAlignment="1">
      <alignment horizontal="center"/>
    </xf>
    <xf numFmtId="10" fontId="0" fillId="0" borderId="0" xfId="0" applyNumberFormat="1" applyBorder="1" applyAlignment="1">
      <alignment horizontal="center"/>
    </xf>
    <xf numFmtId="164" fontId="0" fillId="0" borderId="0" xfId="0" applyNumberFormat="1" applyAlignment="1">
      <alignment/>
    </xf>
    <xf numFmtId="164" fontId="0" fillId="0" borderId="0" xfId="0" applyNumberFormat="1" applyBorder="1" applyAlignment="1">
      <alignment/>
    </xf>
    <xf numFmtId="14" fontId="0" fillId="0" borderId="0" xfId="0" applyNumberFormat="1" applyAlignment="1">
      <alignment horizontal="left"/>
    </xf>
    <xf numFmtId="0" fontId="0" fillId="0" borderId="16" xfId="0" applyBorder="1" applyAlignment="1">
      <alignment/>
    </xf>
    <xf numFmtId="10" fontId="0" fillId="0" borderId="0" xfId="0" applyNumberFormat="1" applyAlignment="1">
      <alignment horizontal="center"/>
    </xf>
    <xf numFmtId="164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 horizontal="center"/>
    </xf>
    <xf numFmtId="0" fontId="0" fillId="0" borderId="12" xfId="0" applyFill="1" applyBorder="1" applyAlignment="1">
      <alignment horizontal="center"/>
    </xf>
    <xf numFmtId="166" fontId="0" fillId="0" borderId="0" xfId="0" applyNumberFormat="1" applyAlignment="1">
      <alignment/>
    </xf>
    <xf numFmtId="39" fontId="0" fillId="0" borderId="17" xfId="0" applyNumberFormat="1" applyBorder="1" applyAlignment="1">
      <alignment horizontal="center"/>
    </xf>
    <xf numFmtId="10" fontId="0" fillId="0" borderId="18" xfId="0" applyNumberFormat="1" applyBorder="1" applyAlignment="1">
      <alignment horizontal="center"/>
    </xf>
    <xf numFmtId="166" fontId="0" fillId="0" borderId="19" xfId="0" applyNumberFormat="1" applyBorder="1" applyAlignment="1">
      <alignment horizontal="left"/>
    </xf>
    <xf numFmtId="39" fontId="0" fillId="10" borderId="0" xfId="0" applyNumberFormat="1" applyFill="1" applyBorder="1" applyAlignment="1">
      <alignment horizontal="center"/>
    </xf>
    <xf numFmtId="166" fontId="0" fillId="0" borderId="20" xfId="0" applyNumberFormat="1" applyBorder="1" applyAlignment="1">
      <alignment horizontal="left"/>
    </xf>
    <xf numFmtId="0" fontId="0" fillId="0" borderId="20" xfId="0" applyBorder="1" applyAlignment="1">
      <alignment/>
    </xf>
    <xf numFmtId="7" fontId="0" fillId="0" borderId="0" xfId="0" applyNumberFormat="1" applyAlignment="1">
      <alignment/>
    </xf>
    <xf numFmtId="7" fontId="0" fillId="0" borderId="0" xfId="0" applyNumberFormat="1" applyBorder="1" applyAlignment="1">
      <alignment horizontal="right"/>
    </xf>
    <xf numFmtId="7" fontId="0" fillId="0" borderId="10" xfId="0" applyNumberFormat="1" applyBorder="1" applyAlignment="1">
      <alignment/>
    </xf>
    <xf numFmtId="9" fontId="0" fillId="0" borderId="0" xfId="0" applyNumberFormat="1" applyAlignment="1">
      <alignment horizontal="center"/>
    </xf>
    <xf numFmtId="0" fontId="0" fillId="0" borderId="16" xfId="0" applyBorder="1" applyAlignment="1">
      <alignment horizontal="center"/>
    </xf>
    <xf numFmtId="4" fontId="0" fillId="0" borderId="21" xfId="0" applyNumberFormat="1" applyBorder="1" applyAlignment="1">
      <alignment/>
    </xf>
    <xf numFmtId="7" fontId="0" fillId="0" borderId="22" xfId="0" applyNumberForma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39" fontId="0" fillId="0" borderId="10" xfId="0" applyNumberFormat="1" applyBorder="1" applyAlignment="1">
      <alignment/>
    </xf>
    <xf numFmtId="0" fontId="0" fillId="0" borderId="18" xfId="0" applyBorder="1" applyAlignment="1">
      <alignment/>
    </xf>
    <xf numFmtId="10" fontId="0" fillId="0" borderId="12" xfId="0" applyNumberFormat="1" applyBorder="1" applyAlignment="1">
      <alignment/>
    </xf>
    <xf numFmtId="0" fontId="0" fillId="0" borderId="23" xfId="0" applyBorder="1" applyAlignment="1">
      <alignment/>
    </xf>
    <xf numFmtId="0" fontId="2" fillId="0" borderId="13" xfId="0" applyFont="1" applyFill="1" applyBorder="1" applyAlignment="1">
      <alignment wrapText="1"/>
    </xf>
    <xf numFmtId="0" fontId="2" fillId="0" borderId="14" xfId="0" applyFont="1" applyBorder="1" applyAlignment="1">
      <alignment wrapText="1"/>
    </xf>
    <xf numFmtId="167" fontId="0" fillId="0" borderId="0" xfId="0" applyNumberFormat="1" applyAlignment="1">
      <alignment horizontal="left"/>
    </xf>
    <xf numFmtId="166" fontId="0" fillId="0" borderId="0" xfId="0" applyNumberFormat="1" applyAlignment="1">
      <alignment horizontal="left"/>
    </xf>
    <xf numFmtId="167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0" fillId="0" borderId="16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9" xfId="0" applyBorder="1" applyAlignment="1">
      <alignment/>
    </xf>
    <xf numFmtId="14" fontId="0" fillId="0" borderId="19" xfId="0" applyNumberFormat="1" applyBorder="1" applyAlignment="1">
      <alignment horizontal="left"/>
    </xf>
    <xf numFmtId="166" fontId="0" fillId="0" borderId="17" xfId="0" applyNumberFormat="1" applyBorder="1" applyAlignment="1">
      <alignment horizontal="left"/>
    </xf>
    <xf numFmtId="7" fontId="0" fillId="0" borderId="0" xfId="0" applyNumberFormat="1" applyBorder="1" applyAlignment="1">
      <alignment/>
    </xf>
    <xf numFmtId="39" fontId="0" fillId="0" borderId="0" xfId="0" applyNumberFormat="1" applyBorder="1" applyAlignment="1">
      <alignment/>
    </xf>
    <xf numFmtId="0" fontId="0" fillId="0" borderId="24" xfId="0" applyBorder="1" applyAlignment="1">
      <alignment/>
    </xf>
    <xf numFmtId="10" fontId="0" fillId="10" borderId="12" xfId="0" applyNumberFormat="1" applyFill="1" applyBorder="1" applyAlignment="1">
      <alignment horizontal="center"/>
    </xf>
    <xf numFmtId="39" fontId="0" fillId="0" borderId="0" xfId="0" applyNumberFormat="1" applyFill="1" applyAlignment="1">
      <alignment horizontal="center"/>
    </xf>
    <xf numFmtId="10" fontId="0" fillId="0" borderId="0" xfId="0" applyNumberFormat="1" applyAlignment="1">
      <alignment/>
    </xf>
    <xf numFmtId="0" fontId="2" fillId="0" borderId="0" xfId="0" applyFont="1" applyBorder="1" applyAlignment="1">
      <alignment/>
    </xf>
    <xf numFmtId="4" fontId="0" fillId="0" borderId="0" xfId="0" applyNumberFormat="1" applyBorder="1" applyAlignment="1">
      <alignment horizontal="center"/>
    </xf>
    <xf numFmtId="0" fontId="5" fillId="0" borderId="0" xfId="0" applyFont="1" applyAlignment="1">
      <alignment/>
    </xf>
    <xf numFmtId="0" fontId="2" fillId="24" borderId="13" xfId="0" applyFont="1" applyFill="1" applyBorder="1" applyAlignment="1">
      <alignment horizontal="center" vertical="center" wrapText="1"/>
    </xf>
    <xf numFmtId="0" fontId="2" fillId="25" borderId="13" xfId="0" applyFont="1" applyFill="1" applyBorder="1" applyAlignment="1">
      <alignment horizontal="center" vertical="center" wrapText="1"/>
    </xf>
    <xf numFmtId="0" fontId="2" fillId="15" borderId="13" xfId="0" applyFont="1" applyFill="1" applyBorder="1" applyAlignment="1">
      <alignment horizontal="center" vertical="center" wrapText="1"/>
    </xf>
    <xf numFmtId="0" fontId="2" fillId="14" borderId="13" xfId="0" applyFont="1" applyFill="1" applyBorder="1" applyAlignment="1">
      <alignment horizontal="center" vertical="center" wrapText="1"/>
    </xf>
    <xf numFmtId="10" fontId="0" fillId="0" borderId="13" xfId="0" applyNumberFormat="1" applyBorder="1" applyAlignment="1">
      <alignment/>
    </xf>
    <xf numFmtId="0" fontId="6" fillId="0" borderId="25" xfId="0" applyFont="1" applyBorder="1" applyAlignment="1">
      <alignment horizontal="center" wrapText="1"/>
    </xf>
    <xf numFmtId="10" fontId="0" fillId="0" borderId="26" xfId="0" applyNumberFormat="1" applyBorder="1" applyAlignment="1">
      <alignment/>
    </xf>
    <xf numFmtId="10" fontId="0" fillId="0" borderId="27" xfId="0" applyNumberFormat="1" applyBorder="1" applyAlignment="1">
      <alignment/>
    </xf>
    <xf numFmtId="10" fontId="7" fillId="17" borderId="27" xfId="0" applyNumberFormat="1" applyFont="1" applyFill="1" applyBorder="1" applyAlignment="1">
      <alignment/>
    </xf>
    <xf numFmtId="10" fontId="2" fillId="11" borderId="28" xfId="0" applyNumberFormat="1" applyFont="1" applyFill="1" applyBorder="1" applyAlignment="1">
      <alignment/>
    </xf>
    <xf numFmtId="0" fontId="6" fillId="0" borderId="29" xfId="0" applyFont="1" applyBorder="1" applyAlignment="1">
      <alignment horizontal="center" wrapText="1"/>
    </xf>
    <xf numFmtId="10" fontId="0" fillId="0" borderId="30" xfId="0" applyNumberFormat="1" applyBorder="1" applyAlignment="1">
      <alignment/>
    </xf>
    <xf numFmtId="10" fontId="0" fillId="0" borderId="31" xfId="0" applyNumberFormat="1" applyBorder="1" applyAlignment="1">
      <alignment/>
    </xf>
    <xf numFmtId="10" fontId="7" fillId="17" borderId="31" xfId="0" applyNumberFormat="1" applyFont="1" applyFill="1" applyBorder="1" applyAlignment="1">
      <alignment/>
    </xf>
    <xf numFmtId="10" fontId="2" fillId="11" borderId="32" xfId="0" applyNumberFormat="1" applyFont="1" applyFill="1" applyBorder="1" applyAlignment="1">
      <alignment/>
    </xf>
    <xf numFmtId="0" fontId="6" fillId="0" borderId="33" xfId="0" applyFont="1" applyBorder="1" applyAlignment="1">
      <alignment horizontal="center" wrapText="1"/>
    </xf>
    <xf numFmtId="10" fontId="0" fillId="0" borderId="34" xfId="0" applyNumberFormat="1" applyBorder="1" applyAlignment="1">
      <alignment/>
    </xf>
    <xf numFmtId="10" fontId="0" fillId="0" borderId="35" xfId="0" applyNumberFormat="1" applyBorder="1" applyAlignment="1">
      <alignment/>
    </xf>
    <xf numFmtId="10" fontId="7" fillId="17" borderId="35" xfId="0" applyNumberFormat="1" applyFont="1" applyFill="1" applyBorder="1" applyAlignment="1">
      <alignment/>
    </xf>
    <xf numFmtId="10" fontId="2" fillId="11" borderId="36" xfId="0" applyNumberFormat="1" applyFont="1" applyFill="1" applyBorder="1" applyAlignment="1">
      <alignment/>
    </xf>
    <xf numFmtId="0" fontId="2" fillId="0" borderId="13" xfId="0" applyFont="1" applyBorder="1" applyAlignment="1">
      <alignment wrapText="1"/>
    </xf>
    <xf numFmtId="0" fontId="2" fillId="0" borderId="16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7" fillId="26" borderId="13" xfId="0" applyFont="1" applyFill="1" applyBorder="1" applyAlignment="1">
      <alignment horizontal="center" vertical="center"/>
    </xf>
    <xf numFmtId="0" fontId="2" fillId="24" borderId="15" xfId="0" applyFont="1" applyFill="1" applyBorder="1" applyAlignment="1">
      <alignment horizontal="center" vertical="center" wrapText="1"/>
    </xf>
    <xf numFmtId="0" fontId="2" fillId="14" borderId="15" xfId="0" applyFont="1" applyFill="1" applyBorder="1" applyAlignment="1">
      <alignment horizontal="center" vertical="center" wrapText="1"/>
    </xf>
    <xf numFmtId="10" fontId="0" fillId="0" borderId="18" xfId="0" applyNumberFormat="1" applyBorder="1" applyAlignment="1">
      <alignment/>
    </xf>
    <xf numFmtId="43" fontId="0" fillId="0" borderId="38" xfId="0" applyNumberFormat="1" applyBorder="1" applyAlignment="1">
      <alignment/>
    </xf>
    <xf numFmtId="43" fontId="0" fillId="0" borderId="17" xfId="0" applyNumberFormat="1" applyBorder="1" applyAlignment="1">
      <alignment/>
    </xf>
    <xf numFmtId="43" fontId="0" fillId="0" borderId="19" xfId="0" applyNumberFormat="1" applyBorder="1" applyAlignment="1">
      <alignment/>
    </xf>
    <xf numFmtId="43" fontId="0" fillId="0" borderId="0" xfId="0" applyNumberFormat="1" applyBorder="1" applyAlignment="1">
      <alignment/>
    </xf>
    <xf numFmtId="43" fontId="0" fillId="0" borderId="20" xfId="0" applyNumberFormat="1" applyBorder="1" applyAlignment="1">
      <alignment/>
    </xf>
    <xf numFmtId="43" fontId="0" fillId="0" borderId="10" xfId="0" applyNumberFormat="1" applyBorder="1" applyAlignment="1">
      <alignment/>
    </xf>
    <xf numFmtId="43" fontId="0" fillId="0" borderId="39" xfId="0" applyNumberFormat="1" applyBorder="1" applyAlignment="1">
      <alignment/>
    </xf>
    <xf numFmtId="43" fontId="0" fillId="0" borderId="0" xfId="0" applyNumberFormat="1" applyAlignment="1">
      <alignment/>
    </xf>
    <xf numFmtId="0" fontId="0" fillId="24" borderId="10" xfId="0" applyFill="1" applyBorder="1" applyAlignment="1">
      <alignment horizontal="center" wrapText="1"/>
    </xf>
    <xf numFmtId="10" fontId="0" fillId="0" borderId="11" xfId="0" applyNumberFormat="1" applyBorder="1" applyAlignment="1">
      <alignment/>
    </xf>
    <xf numFmtId="43" fontId="0" fillId="0" borderId="0" xfId="0" applyNumberFormat="1" applyAlignment="1">
      <alignment horizontal="center"/>
    </xf>
    <xf numFmtId="43" fontId="0" fillId="0" borderId="10" xfId="0" applyNumberFormat="1" applyBorder="1" applyAlignment="1">
      <alignment horizontal="center"/>
    </xf>
    <xf numFmtId="43" fontId="0" fillId="0" borderId="13" xfId="0" applyNumberFormat="1" applyBorder="1" applyAlignment="1">
      <alignment/>
    </xf>
    <xf numFmtId="43" fontId="0" fillId="0" borderId="16" xfId="0" applyNumberFormat="1" applyBorder="1" applyAlignment="1">
      <alignment/>
    </xf>
    <xf numFmtId="43" fontId="0" fillId="0" borderId="22" xfId="0" applyNumberFormat="1" applyBorder="1" applyAlignment="1">
      <alignment/>
    </xf>
    <xf numFmtId="43" fontId="0" fillId="0" borderId="23" xfId="0" applyNumberFormat="1" applyBorder="1" applyAlignment="1">
      <alignment horizontal="center"/>
    </xf>
    <xf numFmtId="0" fontId="6" fillId="0" borderId="33" xfId="0" applyFont="1" applyBorder="1" applyAlignment="1">
      <alignment horizontal="center"/>
    </xf>
    <xf numFmtId="43" fontId="0" fillId="0" borderId="19" xfId="0" applyNumberFormat="1" applyFill="1" applyBorder="1" applyAlignment="1">
      <alignment/>
    </xf>
    <xf numFmtId="4" fontId="0" fillId="0" borderId="0" xfId="0" applyNumberFormat="1" applyBorder="1" applyAlignment="1">
      <alignment/>
    </xf>
    <xf numFmtId="43" fontId="0" fillId="0" borderId="10" xfId="0" applyNumberFormat="1" applyFill="1" applyBorder="1" applyAlignment="1">
      <alignment horizontal="center"/>
    </xf>
    <xf numFmtId="14" fontId="0" fillId="0" borderId="0" xfId="0" applyNumberFormat="1" applyAlignment="1">
      <alignment/>
    </xf>
    <xf numFmtId="167" fontId="0" fillId="0" borderId="0" xfId="0" applyNumberFormat="1" applyAlignment="1">
      <alignment/>
    </xf>
    <xf numFmtId="168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13" xfId="0" applyBorder="1" applyAlignment="1">
      <alignment horizontal="center" wrapText="1"/>
    </xf>
    <xf numFmtId="10" fontId="0" fillId="0" borderId="14" xfId="0" applyNumberFormat="1" applyBorder="1" applyAlignment="1">
      <alignment horizontal="center"/>
    </xf>
    <xf numFmtId="43" fontId="0" fillId="0" borderId="37" xfId="0" applyNumberFormat="1" applyBorder="1" applyAlignment="1">
      <alignment horizontal="center"/>
    </xf>
    <xf numFmtId="43" fontId="0" fillId="0" borderId="14" xfId="0" applyNumberFormat="1" applyBorder="1" applyAlignment="1">
      <alignment horizontal="center"/>
    </xf>
    <xf numFmtId="0" fontId="0" fillId="0" borderId="37" xfId="0" applyNumberFormat="1" applyBorder="1" applyAlignment="1">
      <alignment horizontal="center"/>
    </xf>
    <xf numFmtId="0" fontId="0" fillId="0" borderId="14" xfId="0" applyNumberFormat="1" applyBorder="1" applyAlignment="1">
      <alignment horizontal="center"/>
    </xf>
    <xf numFmtId="10" fontId="0" fillId="0" borderId="37" xfId="0" applyNumberFormat="1" applyBorder="1" applyAlignment="1">
      <alignment horizontal="center"/>
    </xf>
    <xf numFmtId="4" fontId="0" fillId="0" borderId="10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43" fontId="0" fillId="0" borderId="24" xfId="0" applyNumberFormat="1" applyBorder="1" applyAlignment="1">
      <alignment/>
    </xf>
    <xf numFmtId="0" fontId="0" fillId="0" borderId="17" xfId="0" applyBorder="1" applyAlignment="1">
      <alignment/>
    </xf>
    <xf numFmtId="0" fontId="2" fillId="0" borderId="15" xfId="0" applyFont="1" applyFill="1" applyBorder="1" applyAlignment="1">
      <alignment wrapText="1"/>
    </xf>
    <xf numFmtId="43" fontId="0" fillId="0" borderId="23" xfId="0" applyNumberFormat="1" applyBorder="1" applyAlignment="1">
      <alignment/>
    </xf>
    <xf numFmtId="0" fontId="0" fillId="0" borderId="19" xfId="0" applyBorder="1" applyAlignment="1">
      <alignment horizontal="center"/>
    </xf>
    <xf numFmtId="0" fontId="2" fillId="0" borderId="19" xfId="0" applyFont="1" applyBorder="1" applyAlignment="1">
      <alignment horizontal="center" wrapText="1"/>
    </xf>
    <xf numFmtId="43" fontId="0" fillId="0" borderId="18" xfId="0" applyNumberFormat="1" applyBorder="1" applyAlignment="1">
      <alignment/>
    </xf>
    <xf numFmtId="43" fontId="0" fillId="0" borderId="12" xfId="0" applyNumberFormat="1" applyBorder="1" applyAlignment="1">
      <alignment/>
    </xf>
    <xf numFmtId="43" fontId="0" fillId="0" borderId="0" xfId="0" applyNumberFormat="1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12" xfId="0" applyNumberFormat="1" applyBorder="1" applyAlignment="1">
      <alignment/>
    </xf>
    <xf numFmtId="43" fontId="0" fillId="0" borderId="39" xfId="0" applyNumberFormat="1" applyBorder="1" applyAlignment="1">
      <alignment horizontal="center"/>
    </xf>
    <xf numFmtId="10" fontId="0" fillId="24" borderId="12" xfId="0" applyNumberFormat="1" applyFill="1" applyBorder="1" applyAlignment="1">
      <alignment horizontal="center"/>
    </xf>
    <xf numFmtId="0" fontId="0" fillId="24" borderId="0" xfId="0" applyFill="1" applyAlignment="1">
      <alignment/>
    </xf>
    <xf numFmtId="0" fontId="0" fillId="0" borderId="37" xfId="0" applyBorder="1" applyAlignment="1">
      <alignment horizontal="center"/>
    </xf>
    <xf numFmtId="0" fontId="0" fillId="0" borderId="18" xfId="0" applyBorder="1" applyAlignment="1">
      <alignment horizontal="center"/>
    </xf>
    <xf numFmtId="43" fontId="0" fillId="0" borderId="0" xfId="0" applyNumberFormat="1" applyFill="1" applyBorder="1" applyAlignment="1">
      <alignment horizontal="center"/>
    </xf>
    <xf numFmtId="0" fontId="0" fillId="0" borderId="19" xfId="0" applyFont="1" applyBorder="1" applyAlignment="1">
      <alignment horizontal="left"/>
    </xf>
    <xf numFmtId="44" fontId="0" fillId="0" borderId="0" xfId="0" applyNumberFormat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43" fontId="0" fillId="24" borderId="0" xfId="0" applyNumberFormat="1" applyFill="1" applyBorder="1" applyAlignment="1">
      <alignment/>
    </xf>
    <xf numFmtId="43" fontId="0" fillId="0" borderId="20" xfId="0" applyNumberFormat="1" applyFill="1" applyBorder="1" applyAlignment="1">
      <alignment/>
    </xf>
    <xf numFmtId="43" fontId="0" fillId="0" borderId="10" xfId="0" applyNumberFormat="1" applyFill="1" applyBorder="1" applyAlignment="1">
      <alignment/>
    </xf>
    <xf numFmtId="43" fontId="2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0" fontId="2" fillId="25" borderId="15" xfId="0" applyFont="1" applyFill="1" applyBorder="1" applyAlignment="1">
      <alignment horizontal="center" vertical="center" wrapText="1"/>
    </xf>
    <xf numFmtId="0" fontId="2" fillId="15" borderId="15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wrapText="1"/>
    </xf>
    <xf numFmtId="0" fontId="0" fillId="24" borderId="0" xfId="0" applyFont="1" applyFill="1" applyAlignment="1">
      <alignment/>
    </xf>
    <xf numFmtId="0" fontId="7" fillId="26" borderId="15" xfId="0" applyFont="1" applyFill="1" applyBorder="1" applyAlignment="1">
      <alignment horizontal="center" vertical="center"/>
    </xf>
    <xf numFmtId="0" fontId="2" fillId="0" borderId="19" xfId="0" applyFont="1" applyBorder="1" applyAlignment="1">
      <alignment wrapText="1"/>
    </xf>
    <xf numFmtId="0" fontId="0" fillId="0" borderId="19" xfId="0" applyFont="1" applyBorder="1" applyAlignment="1">
      <alignment/>
    </xf>
    <xf numFmtId="0" fontId="0" fillId="0" borderId="19" xfId="0" applyFont="1" applyFill="1" applyBorder="1" applyAlignment="1">
      <alignment horizontal="left" wrapText="1"/>
    </xf>
    <xf numFmtId="43" fontId="0" fillId="24" borderId="0" xfId="0" applyNumberFormat="1" applyFill="1" applyBorder="1" applyAlignment="1">
      <alignment horizontal="center"/>
    </xf>
    <xf numFmtId="0" fontId="0" fillId="24" borderId="19" xfId="0" applyFill="1" applyBorder="1" applyAlignment="1">
      <alignment/>
    </xf>
    <xf numFmtId="0" fontId="0" fillId="24" borderId="0" xfId="0" applyFill="1" applyBorder="1" applyAlignment="1">
      <alignment/>
    </xf>
    <xf numFmtId="4" fontId="0" fillId="0" borderId="0" xfId="0" applyNumberFormat="1" applyBorder="1" applyAlignment="1">
      <alignment horizontal="right"/>
    </xf>
    <xf numFmtId="4" fontId="0" fillId="0" borderId="0" xfId="0" applyNumberFormat="1" applyFill="1" applyBorder="1" applyAlignment="1">
      <alignment horizontal="right"/>
    </xf>
    <xf numFmtId="4" fontId="0" fillId="14" borderId="0" xfId="0" applyNumberFormat="1" applyFill="1" applyBorder="1" applyAlignment="1">
      <alignment horizontal="right"/>
    </xf>
    <xf numFmtId="4" fontId="0" fillId="24" borderId="0" xfId="0" applyNumberFormat="1" applyFill="1" applyBorder="1" applyAlignment="1">
      <alignment horizontal="right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right"/>
    </xf>
    <xf numFmtId="0" fontId="2" fillId="0" borderId="19" xfId="0" applyFont="1" applyFill="1" applyBorder="1" applyAlignment="1">
      <alignment horizontal="center"/>
    </xf>
    <xf numFmtId="0" fontId="0" fillId="0" borderId="19" xfId="0" applyFont="1" applyBorder="1" applyAlignment="1">
      <alignment horizontal="center"/>
    </xf>
    <xf numFmtId="43" fontId="0" fillId="0" borderId="0" xfId="0" applyNumberForma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0" fillId="0" borderId="19" xfId="0" applyFill="1" applyBorder="1" applyAlignment="1">
      <alignment horizontal="center"/>
    </xf>
    <xf numFmtId="0" fontId="0" fillId="24" borderId="0" xfId="0" applyFill="1" applyBorder="1" applyAlignment="1">
      <alignment horizontal="center"/>
    </xf>
    <xf numFmtId="0" fontId="0" fillId="24" borderId="0" xfId="0" applyFill="1" applyBorder="1" applyAlignment="1">
      <alignment horizontal="left"/>
    </xf>
    <xf numFmtId="0" fontId="2" fillId="0" borderId="19" xfId="0" applyFont="1" applyBorder="1" applyAlignment="1">
      <alignment/>
    </xf>
    <xf numFmtId="10" fontId="0" fillId="0" borderId="19" xfId="0" applyNumberFormat="1" applyBorder="1" applyAlignment="1">
      <alignment horizontal="center"/>
    </xf>
    <xf numFmtId="43" fontId="2" fillId="0" borderId="0" xfId="0" applyNumberFormat="1" applyFont="1" applyBorder="1" applyAlignment="1">
      <alignment horizontal="center"/>
    </xf>
    <xf numFmtId="0" fontId="0" fillId="0" borderId="14" xfId="0" applyBorder="1" applyAlignment="1">
      <alignment/>
    </xf>
    <xf numFmtId="0" fontId="2" fillId="0" borderId="13" xfId="0" applyFont="1" applyBorder="1" applyAlignment="1">
      <alignment/>
    </xf>
    <xf numFmtId="43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Alignment="1">
      <alignment wrapText="1"/>
    </xf>
    <xf numFmtId="0" fontId="9" fillId="0" borderId="0" xfId="0" applyFont="1" applyAlignment="1">
      <alignment/>
    </xf>
    <xf numFmtId="0" fontId="0" fillId="0" borderId="10" xfId="0" applyFont="1" applyBorder="1" applyAlignment="1">
      <alignment horizontal="center" wrapText="1"/>
    </xf>
    <xf numFmtId="44" fontId="0" fillId="0" borderId="0" xfId="0" applyNumberFormat="1" applyAlignment="1">
      <alignment horizontal="center"/>
    </xf>
    <xf numFmtId="0" fontId="0" fillId="0" borderId="0" xfId="0" applyFont="1" applyAlignment="1">
      <alignment horizontal="left"/>
    </xf>
    <xf numFmtId="44" fontId="0" fillId="0" borderId="10" xfId="0" applyNumberFormat="1" applyBorder="1" applyAlignment="1">
      <alignment horizontal="center"/>
    </xf>
    <xf numFmtId="44" fontId="0" fillId="0" borderId="40" xfId="0" applyNumberFormat="1" applyBorder="1" applyAlignment="1">
      <alignment horizontal="center"/>
    </xf>
    <xf numFmtId="0" fontId="0" fillId="0" borderId="12" xfId="0" applyNumberFormat="1" applyBorder="1" applyAlignment="1">
      <alignment horizontal="center"/>
    </xf>
    <xf numFmtId="43" fontId="0" fillId="0" borderId="14" xfId="0" applyNumberFormat="1" applyFill="1" applyBorder="1" applyAlignment="1">
      <alignment horizontal="center"/>
    </xf>
    <xf numFmtId="10" fontId="2" fillId="0" borderId="12" xfId="0" applyNumberFormat="1" applyFont="1" applyBorder="1" applyAlignment="1">
      <alignment/>
    </xf>
    <xf numFmtId="0" fontId="0" fillId="0" borderId="10" xfId="0" applyFont="1" applyBorder="1" applyAlignment="1">
      <alignment/>
    </xf>
    <xf numFmtId="10" fontId="0" fillId="0" borderId="10" xfId="0" applyNumberFormat="1" applyBorder="1" applyAlignment="1">
      <alignment horizontal="center"/>
    </xf>
    <xf numFmtId="0" fontId="2" fillId="0" borderId="0" xfId="0" applyFont="1" applyAlignment="1">
      <alignment horizontal="center"/>
    </xf>
    <xf numFmtId="10" fontId="2" fillId="0" borderId="0" xfId="0" applyNumberFormat="1" applyFont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8" fillId="0" borderId="24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0" fillId="14" borderId="19" xfId="0" applyFill="1" applyBorder="1" applyAlignment="1">
      <alignment horizontal="left" wrapText="1"/>
    </xf>
    <xf numFmtId="0" fontId="0" fillId="14" borderId="0" xfId="0" applyFill="1" applyBorder="1" applyAlignment="1">
      <alignment horizontal="left" wrapText="1"/>
    </xf>
    <xf numFmtId="0" fontId="0" fillId="14" borderId="0" xfId="0" applyFill="1" applyBorder="1" applyAlignment="1">
      <alignment wrapText="1"/>
    </xf>
    <xf numFmtId="0" fontId="0" fillId="14" borderId="12" xfId="0" applyFill="1" applyBorder="1" applyAlignment="1">
      <alignment wrapText="1"/>
    </xf>
    <xf numFmtId="0" fontId="0" fillId="14" borderId="20" xfId="0" applyFill="1" applyBorder="1" applyAlignment="1">
      <alignment horizontal="left" wrapText="1"/>
    </xf>
    <xf numFmtId="0" fontId="0" fillId="14" borderId="10" xfId="0" applyFill="1" applyBorder="1" applyAlignment="1">
      <alignment horizontal="left" wrapText="1"/>
    </xf>
    <xf numFmtId="0" fontId="0" fillId="14" borderId="10" xfId="0" applyFill="1" applyBorder="1" applyAlignment="1">
      <alignment wrapText="1"/>
    </xf>
    <xf numFmtId="0" fontId="0" fillId="14" borderId="11" xfId="0" applyFill="1" applyBorder="1" applyAlignment="1">
      <alignment wrapText="1"/>
    </xf>
    <xf numFmtId="0" fontId="0" fillId="0" borderId="16" xfId="0" applyBorder="1" applyAlignment="1">
      <alignment/>
    </xf>
    <xf numFmtId="0" fontId="0" fillId="0" borderId="23" xfId="0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150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D30" sqref="D30"/>
    </sheetView>
  </sheetViews>
  <sheetFormatPr defaultColWidth="9.140625" defaultRowHeight="12.75"/>
  <cols>
    <col min="1" max="1" width="11.00390625" style="0" customWidth="1"/>
    <col min="2" max="2" width="13.421875" style="0" customWidth="1"/>
    <col min="3" max="3" width="14.28125" style="0" customWidth="1"/>
    <col min="4" max="4" width="13.28125" style="0" customWidth="1"/>
    <col min="5" max="5" width="9.28125" style="0" customWidth="1"/>
    <col min="6" max="6" width="11.28125" style="0" customWidth="1"/>
    <col min="7" max="7" width="14.7109375" style="0" bestFit="1" customWidth="1"/>
    <col min="8" max="9" width="15.140625" style="0" bestFit="1" customWidth="1"/>
    <col min="10" max="10" width="10.28125" style="0" customWidth="1"/>
    <col min="11" max="11" width="11.421875" style="0" customWidth="1"/>
    <col min="12" max="14" width="13.421875" style="0" customWidth="1"/>
    <col min="15" max="15" width="9.7109375" style="11" customWidth="1"/>
    <col min="16" max="16" width="11.421875" style="0" customWidth="1"/>
    <col min="17" max="17" width="15.00390625" style="0" bestFit="1" customWidth="1"/>
    <col min="18" max="18" width="14.8515625" style="0" bestFit="1" customWidth="1"/>
    <col min="19" max="19" width="14.57421875" style="0" bestFit="1" customWidth="1"/>
    <col min="20" max="20" width="9.421875" style="0" customWidth="1"/>
    <col min="21" max="21" width="11.57421875" style="0" customWidth="1"/>
    <col min="22" max="22" width="14.28125" style="0" customWidth="1"/>
    <col min="23" max="23" width="13.8515625" style="0" customWidth="1"/>
    <col min="24" max="24" width="13.421875" style="0" customWidth="1"/>
    <col min="25" max="25" width="12.7109375" style="1" customWidth="1"/>
    <col min="26" max="26" width="11.7109375" style="0" customWidth="1"/>
    <col min="27" max="27" width="12.7109375" style="1" customWidth="1"/>
    <col min="28" max="29" width="13.140625" style="1" bestFit="1" customWidth="1"/>
    <col min="30" max="30" width="9.8515625" style="4" customWidth="1"/>
    <col min="31" max="31" width="11.7109375" style="26" customWidth="1"/>
    <col min="32" max="32" width="13.28125" style="1" customWidth="1"/>
    <col min="33" max="33" width="13.57421875" style="1" customWidth="1"/>
    <col min="34" max="34" width="12.8515625" style="1" bestFit="1" customWidth="1"/>
    <col min="35" max="35" width="9.421875" style="4" customWidth="1"/>
    <col min="36" max="36" width="11.8515625" style="26" customWidth="1"/>
    <col min="37" max="37" width="12.00390625" style="1" customWidth="1"/>
    <col min="38" max="38" width="13.28125" style="1" customWidth="1"/>
    <col min="39" max="39" width="13.7109375" style="1" customWidth="1"/>
    <col min="40" max="40" width="13.140625" style="1" bestFit="1" customWidth="1"/>
    <col min="41" max="41" width="9.421875" style="4" customWidth="1"/>
    <col min="42" max="42" width="11.28125" style="0" customWidth="1"/>
    <col min="43" max="45" width="12.8515625" style="0" bestFit="1" customWidth="1"/>
    <col min="46" max="46" width="10.140625" style="0" customWidth="1"/>
    <col min="47" max="47" width="11.140625" style="0" customWidth="1"/>
    <col min="48" max="48" width="13.140625" style="0" customWidth="1"/>
    <col min="49" max="49" width="13.00390625" style="0" customWidth="1"/>
    <col min="50" max="50" width="12.8515625" style="0" bestFit="1" customWidth="1"/>
    <col min="51" max="51" width="9.421875" style="0" customWidth="1"/>
    <col min="52" max="52" width="11.00390625" style="0" customWidth="1"/>
    <col min="53" max="53" width="13.140625" style="0" customWidth="1"/>
    <col min="54" max="54" width="13.00390625" style="0" customWidth="1"/>
    <col min="55" max="55" width="13.140625" style="0" bestFit="1" customWidth="1"/>
    <col min="56" max="56" width="9.421875" style="0" customWidth="1"/>
  </cols>
  <sheetData>
    <row r="1" spans="1:56" s="83" customFormat="1" ht="18">
      <c r="A1" s="226" t="s">
        <v>77</v>
      </c>
      <c r="B1" s="238"/>
      <c r="C1" s="238"/>
      <c r="D1" s="238"/>
      <c r="E1" s="239"/>
      <c r="F1" s="226" t="s">
        <v>66</v>
      </c>
      <c r="G1" s="238"/>
      <c r="H1" s="238"/>
      <c r="I1" s="238"/>
      <c r="J1" s="239"/>
      <c r="K1" s="226" t="s">
        <v>58</v>
      </c>
      <c r="L1" s="238"/>
      <c r="M1" s="238"/>
      <c r="N1" s="238"/>
      <c r="O1" s="239"/>
      <c r="P1" s="226" t="s">
        <v>43</v>
      </c>
      <c r="Q1" s="238"/>
      <c r="R1" s="238"/>
      <c r="S1" s="238"/>
      <c r="T1" s="239"/>
      <c r="U1" s="226" t="s">
        <v>24</v>
      </c>
      <c r="V1" s="227"/>
      <c r="W1" s="227"/>
      <c r="X1" s="227"/>
      <c r="Y1" s="228"/>
      <c r="Z1" s="226" t="s">
        <v>12</v>
      </c>
      <c r="AA1" s="227"/>
      <c r="AB1" s="227"/>
      <c r="AC1" s="227"/>
      <c r="AD1" s="228"/>
      <c r="AE1" s="226" t="s">
        <v>16</v>
      </c>
      <c r="AF1" s="227"/>
      <c r="AG1" s="227"/>
      <c r="AH1" s="227"/>
      <c r="AI1" s="228"/>
      <c r="AJ1" s="226" t="s">
        <v>17</v>
      </c>
      <c r="AK1" s="227"/>
      <c r="AL1" s="227"/>
      <c r="AM1" s="227"/>
      <c r="AN1" s="227"/>
      <c r="AO1" s="228"/>
      <c r="AP1" s="226" t="s">
        <v>90</v>
      </c>
      <c r="AQ1" s="227"/>
      <c r="AR1" s="227"/>
      <c r="AS1" s="227"/>
      <c r="AT1" s="228"/>
      <c r="AU1" s="229" t="s">
        <v>93</v>
      </c>
      <c r="AV1" s="227"/>
      <c r="AW1" s="227"/>
      <c r="AX1" s="227"/>
      <c r="AY1" s="228"/>
      <c r="AZ1" s="226" t="s">
        <v>100</v>
      </c>
      <c r="BA1" s="227"/>
      <c r="BB1" s="227"/>
      <c r="BC1" s="227"/>
      <c r="BD1" s="228"/>
    </row>
    <row r="2" spans="1:56" s="83" customFormat="1" ht="18">
      <c r="A2" s="220" t="s">
        <v>106</v>
      </c>
      <c r="B2" s="221"/>
      <c r="C2" s="221"/>
      <c r="D2" s="221"/>
      <c r="E2" s="222"/>
      <c r="F2" s="220" t="s">
        <v>107</v>
      </c>
      <c r="G2" s="221"/>
      <c r="H2" s="221"/>
      <c r="I2" s="221"/>
      <c r="J2" s="222"/>
      <c r="K2" s="220" t="s">
        <v>108</v>
      </c>
      <c r="L2" s="221"/>
      <c r="M2" s="221"/>
      <c r="N2" s="221"/>
      <c r="O2" s="222"/>
      <c r="P2" s="220" t="s">
        <v>109</v>
      </c>
      <c r="Q2" s="221"/>
      <c r="R2" s="221"/>
      <c r="S2" s="221"/>
      <c r="T2" s="222"/>
      <c r="U2" s="220" t="s">
        <v>110</v>
      </c>
      <c r="V2" s="221"/>
      <c r="W2" s="221"/>
      <c r="X2" s="221"/>
      <c r="Y2" s="222"/>
      <c r="Z2" s="220" t="s">
        <v>111</v>
      </c>
      <c r="AA2" s="221"/>
      <c r="AB2" s="221"/>
      <c r="AC2" s="221"/>
      <c r="AD2" s="222"/>
      <c r="AE2" s="220" t="s">
        <v>112</v>
      </c>
      <c r="AF2" s="221"/>
      <c r="AG2" s="221"/>
      <c r="AH2" s="221"/>
      <c r="AI2" s="222"/>
      <c r="AJ2" s="220" t="s">
        <v>113</v>
      </c>
      <c r="AK2" s="221"/>
      <c r="AL2" s="221"/>
      <c r="AM2" s="221"/>
      <c r="AN2" s="221"/>
      <c r="AO2" s="222"/>
      <c r="AP2" s="220" t="s">
        <v>102</v>
      </c>
      <c r="AQ2" s="221"/>
      <c r="AR2" s="221"/>
      <c r="AS2" s="221"/>
      <c r="AT2" s="222"/>
      <c r="AU2" s="220" t="s">
        <v>103</v>
      </c>
      <c r="AV2" s="221"/>
      <c r="AW2" s="221"/>
      <c r="AX2" s="221"/>
      <c r="AY2" s="222"/>
      <c r="AZ2" s="220" t="s">
        <v>104</v>
      </c>
      <c r="BA2" s="221"/>
      <c r="BB2" s="221"/>
      <c r="BC2" s="221"/>
      <c r="BD2" s="222"/>
    </row>
    <row r="3" spans="1:56" ht="38.25">
      <c r="A3" s="109" t="s">
        <v>44</v>
      </c>
      <c r="B3" s="84" t="s">
        <v>13</v>
      </c>
      <c r="C3" s="85" t="s">
        <v>68</v>
      </c>
      <c r="D3" s="86" t="s">
        <v>69</v>
      </c>
      <c r="E3" s="87" t="s">
        <v>23</v>
      </c>
      <c r="F3" s="109" t="s">
        <v>44</v>
      </c>
      <c r="G3" s="84" t="s">
        <v>13</v>
      </c>
      <c r="H3" s="85" t="s">
        <v>68</v>
      </c>
      <c r="I3" s="86" t="s">
        <v>69</v>
      </c>
      <c r="J3" s="87" t="s">
        <v>23</v>
      </c>
      <c r="K3" s="109" t="s">
        <v>44</v>
      </c>
      <c r="L3" s="84" t="s">
        <v>13</v>
      </c>
      <c r="M3" s="85" t="s">
        <v>68</v>
      </c>
      <c r="N3" s="86" t="s">
        <v>69</v>
      </c>
      <c r="O3" s="87" t="s">
        <v>23</v>
      </c>
      <c r="P3" s="177" t="s">
        <v>44</v>
      </c>
      <c r="Q3" s="110" t="s">
        <v>13</v>
      </c>
      <c r="R3" s="85" t="s">
        <v>68</v>
      </c>
      <c r="S3" s="86" t="s">
        <v>69</v>
      </c>
      <c r="T3" s="111" t="s">
        <v>23</v>
      </c>
      <c r="U3" s="177" t="s">
        <v>44</v>
      </c>
      <c r="V3" s="110" t="s">
        <v>13</v>
      </c>
      <c r="W3" s="85" t="s">
        <v>68</v>
      </c>
      <c r="X3" s="86" t="s">
        <v>69</v>
      </c>
      <c r="Y3" s="111" t="s">
        <v>23</v>
      </c>
      <c r="Z3" s="177" t="s">
        <v>44</v>
      </c>
      <c r="AA3" s="110" t="s">
        <v>13</v>
      </c>
      <c r="AB3" s="85" t="s">
        <v>68</v>
      </c>
      <c r="AC3" s="86" t="s">
        <v>69</v>
      </c>
      <c r="AD3" s="111" t="s">
        <v>23</v>
      </c>
      <c r="AE3" s="177" t="s">
        <v>44</v>
      </c>
      <c r="AF3" s="110" t="s">
        <v>13</v>
      </c>
      <c r="AG3" s="85" t="s">
        <v>68</v>
      </c>
      <c r="AH3" s="86" t="s">
        <v>69</v>
      </c>
      <c r="AI3" s="111" t="s">
        <v>23</v>
      </c>
      <c r="AJ3" s="177" t="s">
        <v>44</v>
      </c>
      <c r="AK3" s="121" t="s">
        <v>21</v>
      </c>
      <c r="AL3" s="8" t="s">
        <v>22</v>
      </c>
      <c r="AM3" s="85" t="s">
        <v>68</v>
      </c>
      <c r="AN3" s="86" t="s">
        <v>69</v>
      </c>
      <c r="AO3" s="111" t="s">
        <v>23</v>
      </c>
      <c r="AP3" s="177" t="s">
        <v>44</v>
      </c>
      <c r="AQ3" s="110" t="s">
        <v>13</v>
      </c>
      <c r="AR3" s="85" t="s">
        <v>68</v>
      </c>
      <c r="AS3" s="86" t="s">
        <v>69</v>
      </c>
      <c r="AT3" s="111" t="s">
        <v>23</v>
      </c>
      <c r="AU3" s="177" t="s">
        <v>44</v>
      </c>
      <c r="AV3" s="110" t="s">
        <v>13</v>
      </c>
      <c r="AW3" s="85" t="s">
        <v>68</v>
      </c>
      <c r="AX3" s="86" t="s">
        <v>69</v>
      </c>
      <c r="AY3" s="111" t="s">
        <v>23</v>
      </c>
      <c r="AZ3" s="177" t="s">
        <v>44</v>
      </c>
      <c r="BA3" s="110" t="s">
        <v>13</v>
      </c>
      <c r="BB3" s="173" t="s">
        <v>68</v>
      </c>
      <c r="BC3" s="174" t="s">
        <v>69</v>
      </c>
      <c r="BD3" s="111" t="s">
        <v>23</v>
      </c>
    </row>
    <row r="4" spans="1:56" ht="12.75">
      <c r="A4" s="72"/>
      <c r="B4" s="16"/>
      <c r="C4" s="16"/>
      <c r="D4" s="148"/>
      <c r="E4" s="11"/>
      <c r="F4" s="72"/>
      <c r="G4" s="16"/>
      <c r="H4" s="16"/>
      <c r="I4" s="36"/>
      <c r="J4" s="11"/>
      <c r="K4" s="72"/>
      <c r="L4" s="16"/>
      <c r="M4" s="16"/>
      <c r="N4" s="16"/>
      <c r="P4" s="201"/>
      <c r="Q4" s="16"/>
      <c r="R4" s="16"/>
      <c r="S4" s="16"/>
      <c r="T4" s="60"/>
      <c r="U4" s="201"/>
      <c r="V4" s="16"/>
      <c r="W4" s="16"/>
      <c r="X4" s="16"/>
      <c r="Y4" s="4"/>
      <c r="Z4" s="72"/>
      <c r="AA4" s="26"/>
      <c r="AB4" s="26"/>
      <c r="AC4" s="26"/>
      <c r="AE4" s="151"/>
      <c r="AF4" s="26"/>
      <c r="AG4" s="26"/>
      <c r="AH4" s="26"/>
      <c r="AJ4" s="161"/>
      <c r="AK4" s="26"/>
      <c r="AL4" s="26"/>
      <c r="AM4" s="26"/>
      <c r="AN4" s="26"/>
      <c r="AP4" s="161"/>
      <c r="AQ4" s="26"/>
      <c r="AR4" s="26"/>
      <c r="AS4" s="26"/>
      <c r="AT4" s="4"/>
      <c r="AU4" s="161"/>
      <c r="AV4" s="16"/>
      <c r="AW4" s="16"/>
      <c r="AX4" s="16"/>
      <c r="AY4" s="11"/>
      <c r="AZ4" s="161"/>
      <c r="BA4" s="16"/>
      <c r="BB4" s="16"/>
      <c r="BC4" s="16"/>
      <c r="BD4" s="11"/>
    </row>
    <row r="5" spans="1:56" ht="12.75">
      <c r="A5" s="106" t="s">
        <v>0</v>
      </c>
      <c r="B5" s="113">
        <v>32820.34</v>
      </c>
      <c r="C5" s="114">
        <v>32823.62</v>
      </c>
      <c r="D5" s="114">
        <v>7718097.12</v>
      </c>
      <c r="E5" s="112">
        <v>0.0043</v>
      </c>
      <c r="F5" s="106" t="s">
        <v>0</v>
      </c>
      <c r="G5" s="113">
        <v>27951.44</v>
      </c>
      <c r="H5" s="114">
        <v>27951.44</v>
      </c>
      <c r="I5" s="116">
        <v>6919246.31</v>
      </c>
      <c r="J5" s="112">
        <v>0.004</v>
      </c>
      <c r="K5" s="106" t="s">
        <v>0</v>
      </c>
      <c r="L5" s="113">
        <v>5990.66</v>
      </c>
      <c r="M5" s="114">
        <v>5990.66</v>
      </c>
      <c r="N5" s="114">
        <v>5771329.36</v>
      </c>
      <c r="O5" s="112">
        <v>0.001</v>
      </c>
      <c r="P5" s="202" t="s">
        <v>0</v>
      </c>
      <c r="Q5" s="125">
        <v>53067.56</v>
      </c>
      <c r="R5" s="125">
        <v>53067.49</v>
      </c>
      <c r="S5" s="125">
        <v>5647356.65</v>
      </c>
      <c r="T5" s="88">
        <v>0.0094</v>
      </c>
      <c r="U5" s="107" t="s">
        <v>0</v>
      </c>
      <c r="V5" s="155">
        <v>12623.31</v>
      </c>
      <c r="W5" s="155">
        <v>12623.31</v>
      </c>
      <c r="X5" s="155">
        <v>4698729.56</v>
      </c>
      <c r="Y5" s="5">
        <v>0.0027</v>
      </c>
      <c r="Z5" s="107" t="s">
        <v>0</v>
      </c>
      <c r="AA5" s="82">
        <v>12081.11</v>
      </c>
      <c r="AB5" s="82">
        <v>12081.11</v>
      </c>
      <c r="AC5" s="82">
        <v>2958020.09</v>
      </c>
      <c r="AD5" s="5">
        <f aca="true" t="shared" si="0" ref="AD5:AD16">(AB5/AC5)</f>
        <v>0.004084187947486185</v>
      </c>
      <c r="AE5" s="107" t="s">
        <v>0</v>
      </c>
      <c r="AF5" s="155">
        <v>18133.66</v>
      </c>
      <c r="AG5" s="155">
        <v>18133.57</v>
      </c>
      <c r="AH5" s="155">
        <v>2495295.33</v>
      </c>
      <c r="AI5" s="5">
        <f aca="true" t="shared" si="1" ref="AI5:AI16">(AG5/AH5)</f>
        <v>0.0072671037299620956</v>
      </c>
      <c r="AJ5" s="107" t="s">
        <v>0</v>
      </c>
      <c r="AK5" s="184">
        <v>0</v>
      </c>
      <c r="AL5" s="184">
        <v>0</v>
      </c>
      <c r="AM5" s="184">
        <v>0</v>
      </c>
      <c r="AN5" s="185">
        <v>2175485.13</v>
      </c>
      <c r="AO5" s="5">
        <f aca="true" t="shared" si="2" ref="AO5:AO16">(AM5/AN5)</f>
        <v>0</v>
      </c>
      <c r="AP5" s="107" t="s">
        <v>0</v>
      </c>
      <c r="AQ5" s="155">
        <v>3074.76</v>
      </c>
      <c r="AR5" s="155">
        <v>3074.76</v>
      </c>
      <c r="AS5" s="155">
        <v>1702360.71</v>
      </c>
      <c r="AT5" s="5">
        <f>AR5/AS5</f>
        <v>0.0018061742038207639</v>
      </c>
      <c r="AU5" s="107" t="s">
        <v>0</v>
      </c>
      <c r="AV5" s="163">
        <v>16684.88</v>
      </c>
      <c r="AW5" s="163">
        <v>16684.88</v>
      </c>
      <c r="AX5" s="116">
        <v>1407143.14</v>
      </c>
      <c r="AY5" s="61">
        <f>AW5/AX5</f>
        <v>0.011857272743411166</v>
      </c>
      <c r="AZ5" s="107" t="s">
        <v>0</v>
      </c>
      <c r="BA5" s="163">
        <v>13042.11</v>
      </c>
      <c r="BB5" s="163">
        <v>13042.11</v>
      </c>
      <c r="BC5" s="116">
        <v>1074117.29</v>
      </c>
      <c r="BD5" s="61">
        <f>BB5/BC5</f>
        <v>0.012142165591618025</v>
      </c>
    </row>
    <row r="6" spans="1:56" ht="12.75">
      <c r="A6" s="107" t="s">
        <v>1</v>
      </c>
      <c r="B6" s="115">
        <v>396250.32</v>
      </c>
      <c r="C6" s="116">
        <v>429074.02</v>
      </c>
      <c r="D6" s="116">
        <v>7717137.28</v>
      </c>
      <c r="E6" s="61">
        <v>0.0556</v>
      </c>
      <c r="F6" s="107" t="s">
        <v>1</v>
      </c>
      <c r="G6" s="115">
        <v>256168.01</v>
      </c>
      <c r="H6" s="116">
        <f>H5+G6+0.12</f>
        <v>284119.57</v>
      </c>
      <c r="I6" s="116">
        <v>6919246.31</v>
      </c>
      <c r="J6" s="61">
        <v>0.0411</v>
      </c>
      <c r="K6" s="107" t="s">
        <v>1</v>
      </c>
      <c r="L6" s="115">
        <v>203674.83</v>
      </c>
      <c r="M6" s="116">
        <v>209665.49</v>
      </c>
      <c r="N6" s="116">
        <v>5788484.58</v>
      </c>
      <c r="O6" s="61">
        <v>0.0362</v>
      </c>
      <c r="P6" s="202" t="s">
        <v>1</v>
      </c>
      <c r="Q6" s="125">
        <v>596254.09</v>
      </c>
      <c r="R6" s="125">
        <v>649321.09</v>
      </c>
      <c r="S6" s="125">
        <v>5647378.93</v>
      </c>
      <c r="T6" s="88">
        <v>0.115</v>
      </c>
      <c r="U6" s="107" t="s">
        <v>1</v>
      </c>
      <c r="V6" s="155">
        <v>114193</v>
      </c>
      <c r="W6" s="155">
        <v>126816.33</v>
      </c>
      <c r="X6" s="155">
        <v>4701810.29</v>
      </c>
      <c r="Y6" s="5">
        <v>0.027</v>
      </c>
      <c r="Z6" s="107" t="s">
        <v>1</v>
      </c>
      <c r="AA6" s="82">
        <v>84145.36</v>
      </c>
      <c r="AB6" s="82">
        <v>96226.53</v>
      </c>
      <c r="AC6" s="82">
        <v>2957864.26</v>
      </c>
      <c r="AD6" s="5">
        <f t="shared" si="0"/>
        <v>0.03253243608954523</v>
      </c>
      <c r="AE6" s="107" t="s">
        <v>1</v>
      </c>
      <c r="AF6" s="155">
        <v>72705.49</v>
      </c>
      <c r="AG6" s="155">
        <v>90839.82</v>
      </c>
      <c r="AH6" s="155">
        <v>2528425.77</v>
      </c>
      <c r="AI6" s="5">
        <f t="shared" si="1"/>
        <v>0.03592742214457022</v>
      </c>
      <c r="AJ6" s="107" t="s">
        <v>1</v>
      </c>
      <c r="AK6" s="186">
        <v>34963.43</v>
      </c>
      <c r="AL6" s="186">
        <v>34963.43</v>
      </c>
      <c r="AM6" s="184">
        <v>34963.43</v>
      </c>
      <c r="AN6" s="185">
        <v>2175485.13</v>
      </c>
      <c r="AO6" s="5">
        <f t="shared" si="2"/>
        <v>0.016071555497141</v>
      </c>
      <c r="AP6" s="107" t="s">
        <v>1</v>
      </c>
      <c r="AQ6" s="155">
        <v>51160.3</v>
      </c>
      <c r="AR6" s="155">
        <f>AR5+AQ6</f>
        <v>54235.060000000005</v>
      </c>
      <c r="AS6" s="155">
        <v>1717343.84</v>
      </c>
      <c r="AT6" s="5">
        <f aca="true" t="shared" si="3" ref="AT6:AT16">AR6/AS6</f>
        <v>0.0315807811672705</v>
      </c>
      <c r="AU6" s="107" t="s">
        <v>1</v>
      </c>
      <c r="AV6" s="116">
        <v>41767.81</v>
      </c>
      <c r="AW6" s="116">
        <f aca="true" t="shared" si="4" ref="AW6:AW15">AW5+AV6</f>
        <v>58452.69</v>
      </c>
      <c r="AX6" s="116">
        <v>1407302.74</v>
      </c>
      <c r="AY6" s="61">
        <f aca="true" t="shared" si="5" ref="AY6:AY16">AW6/AX6</f>
        <v>0.0415352634075025</v>
      </c>
      <c r="AZ6" s="107" t="s">
        <v>1</v>
      </c>
      <c r="BA6" s="116">
        <v>27090.26</v>
      </c>
      <c r="BB6" s="116">
        <v>40132.37</v>
      </c>
      <c r="BC6" s="116">
        <v>1074257.44</v>
      </c>
      <c r="BD6" s="61">
        <f aca="true" t="shared" si="6" ref="BD6:BD16">BB6/BC6</f>
        <v>0.0373582425456602</v>
      </c>
    </row>
    <row r="7" spans="1:56" ht="12.75">
      <c r="A7" s="107" t="s">
        <v>2</v>
      </c>
      <c r="B7" s="115">
        <f>B61</f>
        <v>4951459.540000001</v>
      </c>
      <c r="C7" s="116">
        <f>C60</f>
        <v>5380533.59</v>
      </c>
      <c r="D7" s="116">
        <v>7721116.19</v>
      </c>
      <c r="E7" s="61">
        <f>C7/D7</f>
        <v>0.696859554706429</v>
      </c>
      <c r="F7" s="107" t="s">
        <v>2</v>
      </c>
      <c r="G7" s="115">
        <f>G61</f>
        <v>3155481.65</v>
      </c>
      <c r="H7" s="116">
        <f>H6+G7+0.13</f>
        <v>3439601.3499999996</v>
      </c>
      <c r="I7" s="116">
        <v>6932310.02</v>
      </c>
      <c r="J7" s="61">
        <f>H7/I7</f>
        <v>0.4961695798480749</v>
      </c>
      <c r="K7" s="107" t="s">
        <v>2</v>
      </c>
      <c r="L7" s="115">
        <f>L64</f>
        <v>4018432.8499999996</v>
      </c>
      <c r="M7" s="116">
        <f>M6+L7+L17</f>
        <v>4228096.34</v>
      </c>
      <c r="N7" s="116">
        <v>5785699.82</v>
      </c>
      <c r="O7" s="61">
        <v>0.7308</v>
      </c>
      <c r="P7" s="202" t="s">
        <v>2</v>
      </c>
      <c r="Q7" s="125">
        <v>3483378.97</v>
      </c>
      <c r="R7" s="125">
        <v>4132700.11</v>
      </c>
      <c r="S7" s="125">
        <v>5645545.44</v>
      </c>
      <c r="T7" s="88">
        <v>0.732</v>
      </c>
      <c r="U7" s="107" t="s">
        <v>2</v>
      </c>
      <c r="V7" s="155">
        <v>3237006.29</v>
      </c>
      <c r="W7" s="155">
        <v>3363822.8</v>
      </c>
      <c r="X7" s="155">
        <v>4705582.19</v>
      </c>
      <c r="Y7" s="5">
        <v>0.7149</v>
      </c>
      <c r="Z7" s="107" t="s">
        <v>2</v>
      </c>
      <c r="AA7" s="82">
        <v>1390992.51</v>
      </c>
      <c r="AB7" s="82">
        <v>1487218.69</v>
      </c>
      <c r="AC7" s="82">
        <v>2972113.78</v>
      </c>
      <c r="AD7" s="5">
        <f t="shared" si="0"/>
        <v>0.5003909002433952</v>
      </c>
      <c r="AE7" s="107" t="s">
        <v>2</v>
      </c>
      <c r="AF7" s="155">
        <v>819583.6</v>
      </c>
      <c r="AG7" s="155">
        <v>910423.25</v>
      </c>
      <c r="AH7" s="155">
        <v>2538577.6</v>
      </c>
      <c r="AI7" s="5">
        <f t="shared" si="1"/>
        <v>0.3586351860979156</v>
      </c>
      <c r="AJ7" s="107" t="s">
        <v>2</v>
      </c>
      <c r="AK7" s="186">
        <v>1139053.8</v>
      </c>
      <c r="AL7" s="186">
        <v>1139109.56</v>
      </c>
      <c r="AM7" s="184">
        <v>1174068.2</v>
      </c>
      <c r="AN7" s="185">
        <v>2175485.13</v>
      </c>
      <c r="AO7" s="5">
        <f t="shared" si="2"/>
        <v>0.5396810963263169</v>
      </c>
      <c r="AP7" s="107" t="s">
        <v>2</v>
      </c>
      <c r="AQ7" s="155">
        <v>845786.83</v>
      </c>
      <c r="AR7" s="155">
        <f>AR6+AQ7</f>
        <v>900021.89</v>
      </c>
      <c r="AS7" s="155">
        <v>1726088.75</v>
      </c>
      <c r="AT7" s="5">
        <f t="shared" si="3"/>
        <v>0.5214227194285346</v>
      </c>
      <c r="AU7" s="107" t="s">
        <v>2</v>
      </c>
      <c r="AV7" s="116">
        <v>336471.1</v>
      </c>
      <c r="AW7" s="116">
        <f t="shared" si="4"/>
        <v>394923.79</v>
      </c>
      <c r="AX7" s="116">
        <v>1406472.57</v>
      </c>
      <c r="AY7" s="61">
        <f t="shared" si="5"/>
        <v>0.2807902538760496</v>
      </c>
      <c r="AZ7" s="107" t="s">
        <v>2</v>
      </c>
      <c r="BA7" s="116">
        <v>443646.35</v>
      </c>
      <c r="BB7" s="116">
        <v>483778.72</v>
      </c>
      <c r="BC7" s="116">
        <v>1073146.24</v>
      </c>
      <c r="BD7" s="61">
        <f t="shared" si="6"/>
        <v>0.45080409544182903</v>
      </c>
    </row>
    <row r="8" spans="1:56" ht="12.75">
      <c r="A8" s="107" t="s">
        <v>3</v>
      </c>
      <c r="B8" s="115">
        <f>B94</f>
        <v>1670910.1500000001</v>
      </c>
      <c r="C8" s="116">
        <v>7050110.62</v>
      </c>
      <c r="D8" s="116">
        <v>7719891.83</v>
      </c>
      <c r="E8" s="61">
        <f>C8/D8</f>
        <v>0.9132395602491233</v>
      </c>
      <c r="F8" s="107" t="s">
        <v>3</v>
      </c>
      <c r="G8" s="115">
        <f>G92</f>
        <v>2986816.81</v>
      </c>
      <c r="H8" s="116">
        <f>H7+G8-774.33</f>
        <v>6425643.83</v>
      </c>
      <c r="I8" s="116">
        <v>6936397.54</v>
      </c>
      <c r="J8" s="61">
        <f>H8/I8</f>
        <v>0.9263661422150842</v>
      </c>
      <c r="K8" s="107" t="s">
        <v>3</v>
      </c>
      <c r="L8" s="115">
        <v>1002807.44</v>
      </c>
      <c r="M8" s="116">
        <v>5230903.71</v>
      </c>
      <c r="N8" s="116">
        <v>5784304.24</v>
      </c>
      <c r="O8" s="61">
        <v>0.9043</v>
      </c>
      <c r="P8" s="202" t="s">
        <v>3</v>
      </c>
      <c r="Q8" s="125">
        <v>1057368.88</v>
      </c>
      <c r="R8" s="125">
        <v>5190068.52</v>
      </c>
      <c r="S8" s="125">
        <v>5642337.79</v>
      </c>
      <c r="T8" s="88">
        <v>0.9198</v>
      </c>
      <c r="U8" s="107" t="s">
        <v>3</v>
      </c>
      <c r="V8" s="155">
        <v>937762.01</v>
      </c>
      <c r="W8" s="155">
        <v>4301585.47</v>
      </c>
      <c r="X8" s="155">
        <v>4704348.37</v>
      </c>
      <c r="Y8" s="5">
        <v>0.9144</v>
      </c>
      <c r="Z8" s="107" t="s">
        <v>3</v>
      </c>
      <c r="AA8" s="82">
        <v>1147779.76</v>
      </c>
      <c r="AB8" s="82">
        <v>2634149.37</v>
      </c>
      <c r="AC8" s="82">
        <v>2971541.24</v>
      </c>
      <c r="AD8" s="5">
        <f t="shared" si="0"/>
        <v>0.8864589643050015</v>
      </c>
      <c r="AE8" s="107" t="s">
        <v>3</v>
      </c>
      <c r="AF8" s="155">
        <v>1239102.47</v>
      </c>
      <c r="AG8" s="155">
        <v>2149276.34</v>
      </c>
      <c r="AH8" s="155">
        <v>2539132.98</v>
      </c>
      <c r="AI8" s="5">
        <f t="shared" si="1"/>
        <v>0.8464607237703635</v>
      </c>
      <c r="AJ8" s="107" t="s">
        <v>3</v>
      </c>
      <c r="AK8" s="186">
        <v>658910.67</v>
      </c>
      <c r="AL8" s="186">
        <v>659076.34</v>
      </c>
      <c r="AM8" s="184">
        <v>1831778.39</v>
      </c>
      <c r="AN8" s="185">
        <v>2195773.4</v>
      </c>
      <c r="AO8" s="5">
        <f t="shared" si="2"/>
        <v>0.8342292469705662</v>
      </c>
      <c r="AP8" s="107" t="s">
        <v>3</v>
      </c>
      <c r="AQ8" s="155">
        <v>601015.4</v>
      </c>
      <c r="AR8" s="155">
        <f>AR7+AQ8</f>
        <v>1501037.29</v>
      </c>
      <c r="AS8" s="155">
        <v>1731607.96</v>
      </c>
      <c r="AT8" s="5">
        <f t="shared" si="3"/>
        <v>0.8668459170169212</v>
      </c>
      <c r="AU8" s="107" t="s">
        <v>3</v>
      </c>
      <c r="AV8" s="116">
        <v>861847.04</v>
      </c>
      <c r="AW8" s="116">
        <f t="shared" si="4"/>
        <v>1256770.83</v>
      </c>
      <c r="AX8" s="116">
        <v>1415878.43</v>
      </c>
      <c r="AY8" s="61">
        <f t="shared" si="5"/>
        <v>0.8876262279099768</v>
      </c>
      <c r="AZ8" s="107" t="s">
        <v>3</v>
      </c>
      <c r="BA8" s="116">
        <v>467806.82</v>
      </c>
      <c r="BB8" s="116">
        <v>951585.54</v>
      </c>
      <c r="BC8" s="116">
        <v>1072709.65</v>
      </c>
      <c r="BD8" s="61">
        <f t="shared" si="6"/>
        <v>0.8870858391177894</v>
      </c>
    </row>
    <row r="9" spans="1:56" ht="12.75">
      <c r="A9" s="107" t="s">
        <v>4</v>
      </c>
      <c r="B9" s="115">
        <v>370795.87</v>
      </c>
      <c r="C9" s="116">
        <v>7420906.51</v>
      </c>
      <c r="D9" s="116">
        <v>7718142.61</v>
      </c>
      <c r="E9" s="61">
        <f>C9/D9</f>
        <v>0.9614886488862117</v>
      </c>
      <c r="F9" s="107" t="s">
        <v>4</v>
      </c>
      <c r="G9" s="115">
        <f>G117</f>
        <v>289594.7</v>
      </c>
      <c r="H9" s="116">
        <f>H8+G9-0.46</f>
        <v>6715238.07</v>
      </c>
      <c r="I9" s="116">
        <v>6933652.5</v>
      </c>
      <c r="J9" s="61">
        <f>H9/I9</f>
        <v>0.9684993688391509</v>
      </c>
      <c r="K9" s="107" t="s">
        <v>4</v>
      </c>
      <c r="L9" s="115">
        <v>368420.46</v>
      </c>
      <c r="M9" s="116">
        <v>5599324.4</v>
      </c>
      <c r="N9" s="116">
        <v>5784304.24</v>
      </c>
      <c r="O9" s="61">
        <v>0.968</v>
      </c>
      <c r="P9" s="202" t="s">
        <v>4</v>
      </c>
      <c r="Q9" s="125">
        <v>173980.01</v>
      </c>
      <c r="R9" s="125">
        <v>5364036.79</v>
      </c>
      <c r="S9" s="125">
        <v>5678371.33</v>
      </c>
      <c r="T9" s="88">
        <v>0.9446</v>
      </c>
      <c r="U9" s="107" t="s">
        <v>4</v>
      </c>
      <c r="V9" s="155">
        <f>V123</f>
        <v>191069.19999999998</v>
      </c>
      <c r="W9" s="155">
        <v>4492654.15</v>
      </c>
      <c r="X9" s="155">
        <v>4706842.61</v>
      </c>
      <c r="Y9" s="5">
        <v>0.9545</v>
      </c>
      <c r="Z9" s="107" t="s">
        <v>4</v>
      </c>
      <c r="AA9" s="82">
        <v>184971.2</v>
      </c>
      <c r="AB9" s="82">
        <v>2819120.57</v>
      </c>
      <c r="AC9" s="82">
        <v>2971541.24</v>
      </c>
      <c r="AD9" s="5">
        <f t="shared" si="0"/>
        <v>0.948706527121932</v>
      </c>
      <c r="AE9" s="107" t="s">
        <v>4</v>
      </c>
      <c r="AF9" s="155">
        <v>228263.06</v>
      </c>
      <c r="AG9" s="155">
        <v>2377540</v>
      </c>
      <c r="AH9" s="155">
        <v>2539132.98</v>
      </c>
      <c r="AI9" s="5">
        <f t="shared" si="1"/>
        <v>0.9363589929031602</v>
      </c>
      <c r="AJ9" s="107" t="s">
        <v>4</v>
      </c>
      <c r="AK9" s="186">
        <v>212832.96</v>
      </c>
      <c r="AL9" s="186">
        <v>211802.11</v>
      </c>
      <c r="AM9" s="184">
        <v>2043580.72</v>
      </c>
      <c r="AN9" s="185">
        <v>2195790.89</v>
      </c>
      <c r="AO9" s="5">
        <f t="shared" si="2"/>
        <v>0.9306809356513907</v>
      </c>
      <c r="AP9" s="107" t="s">
        <v>4</v>
      </c>
      <c r="AQ9" s="155">
        <v>122083.37</v>
      </c>
      <c r="AR9" s="155">
        <f>AR8+AQ9</f>
        <v>1623120.6600000001</v>
      </c>
      <c r="AS9" s="155">
        <v>1731607.96</v>
      </c>
      <c r="AT9" s="5">
        <f t="shared" si="3"/>
        <v>0.9373488096000668</v>
      </c>
      <c r="AU9" s="107" t="s">
        <v>4</v>
      </c>
      <c r="AV9" s="116">
        <v>54885.03</v>
      </c>
      <c r="AW9" s="116">
        <f t="shared" si="4"/>
        <v>1311655.86</v>
      </c>
      <c r="AX9" s="116">
        <v>1416287.13</v>
      </c>
      <c r="AY9" s="61">
        <f t="shared" si="5"/>
        <v>0.9261228406417844</v>
      </c>
      <c r="AZ9" s="107" t="s">
        <v>4</v>
      </c>
      <c r="BA9" s="116">
        <v>47745.38</v>
      </c>
      <c r="BB9" s="116">
        <v>999330.92</v>
      </c>
      <c r="BC9" s="116">
        <v>1072613.01</v>
      </c>
      <c r="BD9" s="61">
        <f t="shared" si="6"/>
        <v>0.9316789099919645</v>
      </c>
    </row>
    <row r="10" spans="1:56" ht="12.75">
      <c r="A10" s="107" t="s">
        <v>5</v>
      </c>
      <c r="B10" s="115">
        <v>52904.9</v>
      </c>
      <c r="C10" s="116">
        <v>7473772.16</v>
      </c>
      <c r="D10" s="116">
        <v>7713126.37</v>
      </c>
      <c r="E10" s="61">
        <v>0.969</v>
      </c>
      <c r="F10" s="107" t="s">
        <v>5</v>
      </c>
      <c r="G10" s="115">
        <v>60398.31</v>
      </c>
      <c r="H10" s="116">
        <v>6775635.28</v>
      </c>
      <c r="I10" s="116">
        <v>6933622.6</v>
      </c>
      <c r="J10" s="61">
        <v>0.9772</v>
      </c>
      <c r="K10" s="107" t="s">
        <v>5</v>
      </c>
      <c r="L10" s="130">
        <v>50565.71</v>
      </c>
      <c r="M10" s="116">
        <v>5649889.69</v>
      </c>
      <c r="N10" s="116">
        <v>5784462.39</v>
      </c>
      <c r="O10" s="61">
        <v>0.9767</v>
      </c>
      <c r="P10" s="202" t="s">
        <v>5</v>
      </c>
      <c r="Q10" s="125">
        <v>78658.44</v>
      </c>
      <c r="R10" s="125">
        <v>5442696.26</v>
      </c>
      <c r="S10" s="125">
        <v>5678134.84</v>
      </c>
      <c r="T10" s="88">
        <v>0.9585</v>
      </c>
      <c r="U10" s="107" t="s">
        <v>5</v>
      </c>
      <c r="V10" s="155">
        <v>37489.05</v>
      </c>
      <c r="W10" s="155">
        <v>4530143.31</v>
      </c>
      <c r="X10" s="155">
        <v>4706842.61</v>
      </c>
      <c r="Y10" s="5">
        <v>0.9625</v>
      </c>
      <c r="Z10" s="107" t="s">
        <v>5</v>
      </c>
      <c r="AA10" s="82">
        <v>31120.48</v>
      </c>
      <c r="AB10" s="82">
        <v>2850241.04</v>
      </c>
      <c r="AC10" s="82">
        <v>2973537.84</v>
      </c>
      <c r="AD10" s="5">
        <f t="shared" si="0"/>
        <v>0.9585353183196754</v>
      </c>
      <c r="AE10" s="107" t="s">
        <v>5</v>
      </c>
      <c r="AF10" s="163">
        <v>21836.55</v>
      </c>
      <c r="AG10" s="163">
        <v>2399376.55</v>
      </c>
      <c r="AH10" s="163">
        <v>2533450.28</v>
      </c>
      <c r="AI10" s="7">
        <f t="shared" si="1"/>
        <v>0.9470786022293676</v>
      </c>
      <c r="AJ10" s="107" t="s">
        <v>5</v>
      </c>
      <c r="AK10" s="187">
        <v>16350.7</v>
      </c>
      <c r="AL10" s="187">
        <v>16350.7</v>
      </c>
      <c r="AM10" s="187">
        <v>2062111.56</v>
      </c>
      <c r="AN10" s="187">
        <v>2195790.89</v>
      </c>
      <c r="AO10" s="9">
        <f t="shared" si="2"/>
        <v>0.9391201909941433</v>
      </c>
      <c r="AP10" s="107" t="s">
        <v>5</v>
      </c>
      <c r="AQ10" s="163">
        <v>23187.04</v>
      </c>
      <c r="AR10" s="163">
        <f>AR9+AQ10</f>
        <v>1646307.7000000002</v>
      </c>
      <c r="AS10" s="163">
        <v>1736230.25</v>
      </c>
      <c r="AT10" s="5">
        <f t="shared" si="3"/>
        <v>0.9482081653628602</v>
      </c>
      <c r="AU10" s="107" t="s">
        <v>5</v>
      </c>
      <c r="AV10" s="116">
        <v>20755.5</v>
      </c>
      <c r="AW10" s="116">
        <f t="shared" si="4"/>
        <v>1332411.36</v>
      </c>
      <c r="AX10" s="116">
        <v>1415740.3</v>
      </c>
      <c r="AY10" s="61">
        <f t="shared" si="5"/>
        <v>0.9411410835730254</v>
      </c>
      <c r="AZ10" s="107" t="s">
        <v>5</v>
      </c>
      <c r="BA10" s="116">
        <v>9930.42</v>
      </c>
      <c r="BB10" s="116">
        <v>1009261.34</v>
      </c>
      <c r="BC10" s="116">
        <v>1072345.61</v>
      </c>
      <c r="BD10" s="61">
        <f t="shared" si="6"/>
        <v>0.941171699299445</v>
      </c>
    </row>
    <row r="11" spans="1:56" ht="12.75">
      <c r="A11" s="107" t="s">
        <v>6</v>
      </c>
      <c r="B11" s="115">
        <v>42162.56</v>
      </c>
      <c r="C11" s="116">
        <v>7515934.32</v>
      </c>
      <c r="D11" s="116">
        <v>7714371.65</v>
      </c>
      <c r="E11" s="61">
        <v>0.9743</v>
      </c>
      <c r="F11" s="107" t="s">
        <v>6</v>
      </c>
      <c r="G11" s="130">
        <v>32401.4</v>
      </c>
      <c r="H11" s="116">
        <v>6808036.61</v>
      </c>
      <c r="I11" s="116">
        <v>6929834.98</v>
      </c>
      <c r="J11" s="61">
        <v>0.9824</v>
      </c>
      <c r="K11" s="107" t="s">
        <v>6</v>
      </c>
      <c r="L11" s="115">
        <v>25724.74</v>
      </c>
      <c r="M11" s="116">
        <v>5675614.35</v>
      </c>
      <c r="N11" s="116">
        <v>5784111.98</v>
      </c>
      <c r="O11" s="61">
        <v>0.9812</v>
      </c>
      <c r="P11" s="202" t="s">
        <v>6</v>
      </c>
      <c r="Q11" s="125">
        <v>18974.16</v>
      </c>
      <c r="R11" s="125">
        <v>5461670.42</v>
      </c>
      <c r="S11" s="125">
        <v>5676134.84</v>
      </c>
      <c r="T11" s="88">
        <v>0.9619</v>
      </c>
      <c r="U11" s="107" t="s">
        <v>6</v>
      </c>
      <c r="V11" s="155">
        <v>22516.04</v>
      </c>
      <c r="W11" s="155">
        <v>4552659.42</v>
      </c>
      <c r="X11" s="155">
        <v>4707075.18</v>
      </c>
      <c r="Y11" s="5">
        <v>0.9672</v>
      </c>
      <c r="Z11" s="107" t="s">
        <v>6</v>
      </c>
      <c r="AA11" s="82">
        <v>15524.71</v>
      </c>
      <c r="AB11" s="82">
        <v>2865766.24</v>
      </c>
      <c r="AC11" s="82">
        <v>2973222.86</v>
      </c>
      <c r="AD11" s="5">
        <f t="shared" si="0"/>
        <v>0.963858538340446</v>
      </c>
      <c r="AE11" s="107" t="s">
        <v>6</v>
      </c>
      <c r="AF11" s="163">
        <v>14748.99</v>
      </c>
      <c r="AG11" s="163">
        <v>2414125.62</v>
      </c>
      <c r="AH11" s="163">
        <v>2533450.28</v>
      </c>
      <c r="AI11" s="7">
        <f t="shared" si="1"/>
        <v>0.9529003347955975</v>
      </c>
      <c r="AJ11" s="107" t="s">
        <v>6</v>
      </c>
      <c r="AK11" s="185">
        <v>16317.48</v>
      </c>
      <c r="AL11" s="185">
        <v>16317.48</v>
      </c>
      <c r="AM11" s="184">
        <v>2076214.86</v>
      </c>
      <c r="AN11" s="185">
        <v>2175640.57</v>
      </c>
      <c r="AO11" s="5">
        <f t="shared" si="2"/>
        <v>0.9543004890738915</v>
      </c>
      <c r="AP11" s="107" t="s">
        <v>6</v>
      </c>
      <c r="AQ11" s="163">
        <v>7124.82</v>
      </c>
      <c r="AR11" s="163">
        <v>1653494.55</v>
      </c>
      <c r="AS11" s="163">
        <v>1735770.79</v>
      </c>
      <c r="AT11" s="5">
        <f t="shared" si="3"/>
        <v>0.952599594097329</v>
      </c>
      <c r="AU11" s="107" t="s">
        <v>6</v>
      </c>
      <c r="AV11" s="116">
        <v>9715.42</v>
      </c>
      <c r="AW11" s="116">
        <f t="shared" si="4"/>
        <v>1342126.78</v>
      </c>
      <c r="AX11" s="116">
        <v>1416271.98</v>
      </c>
      <c r="AY11" s="61">
        <f t="shared" si="5"/>
        <v>0.9476476262702027</v>
      </c>
      <c r="AZ11" s="107" t="s">
        <v>6</v>
      </c>
      <c r="BA11" s="116">
        <v>807.05</v>
      </c>
      <c r="BB11" s="116">
        <v>1010068.39</v>
      </c>
      <c r="BC11" s="116">
        <v>1072174.82</v>
      </c>
      <c r="BD11" s="61">
        <f t="shared" si="6"/>
        <v>0.9420743438089695</v>
      </c>
    </row>
    <row r="12" spans="1:56" ht="12.75">
      <c r="A12" s="107" t="s">
        <v>7</v>
      </c>
      <c r="B12" s="115">
        <v>28596.46</v>
      </c>
      <c r="C12" s="116">
        <v>7544531.38</v>
      </c>
      <c r="D12" s="116">
        <v>7713213.89</v>
      </c>
      <c r="E12" s="61">
        <v>0.9781</v>
      </c>
      <c r="F12" s="107" t="s">
        <v>7</v>
      </c>
      <c r="G12" s="115">
        <v>27409.55</v>
      </c>
      <c r="H12" s="116">
        <v>6835446.39</v>
      </c>
      <c r="I12" s="116">
        <v>6929834.98</v>
      </c>
      <c r="J12" s="61">
        <v>0.9864</v>
      </c>
      <c r="K12" s="107" t="s">
        <v>7</v>
      </c>
      <c r="L12" s="130">
        <v>16887.43</v>
      </c>
      <c r="M12" s="116">
        <v>5692502.12</v>
      </c>
      <c r="N12" s="116">
        <v>5784111.98</v>
      </c>
      <c r="O12" s="61">
        <v>0.9842</v>
      </c>
      <c r="P12" s="202" t="s">
        <v>7</v>
      </c>
      <c r="Q12" s="125">
        <v>25922.82</v>
      </c>
      <c r="R12" s="125">
        <v>5487593.02</v>
      </c>
      <c r="S12" s="125">
        <v>5659586.11</v>
      </c>
      <c r="T12" s="88">
        <v>0.9696</v>
      </c>
      <c r="U12" s="107" t="s">
        <v>7</v>
      </c>
      <c r="V12" s="155">
        <v>29756.01</v>
      </c>
      <c r="W12" s="155">
        <v>4582415.57</v>
      </c>
      <c r="X12" s="155">
        <v>4706727.73</v>
      </c>
      <c r="Y12" s="5">
        <v>0.9736</v>
      </c>
      <c r="Z12" s="107" t="s">
        <v>7</v>
      </c>
      <c r="AA12" s="82">
        <v>17251.56</v>
      </c>
      <c r="AB12" s="82">
        <v>2883017.18</v>
      </c>
      <c r="AC12" s="82">
        <v>2971921.09</v>
      </c>
      <c r="AD12" s="5">
        <f t="shared" si="0"/>
        <v>0.9700853732963685</v>
      </c>
      <c r="AE12" s="107" t="s">
        <v>7</v>
      </c>
      <c r="AF12" s="163">
        <v>13948.79</v>
      </c>
      <c r="AG12" s="163">
        <v>2428074.87</v>
      </c>
      <c r="AH12" s="163">
        <v>2534067.88</v>
      </c>
      <c r="AI12" s="7">
        <f t="shared" si="1"/>
        <v>0.9581727818593401</v>
      </c>
      <c r="AJ12" s="107" t="s">
        <v>7</v>
      </c>
      <c r="AK12" s="184">
        <v>12751.32</v>
      </c>
      <c r="AL12" s="184">
        <v>12751.32</v>
      </c>
      <c r="AM12" s="184">
        <v>2088966.18</v>
      </c>
      <c r="AN12" s="185">
        <v>2175792.45</v>
      </c>
      <c r="AO12" s="5">
        <f t="shared" si="2"/>
        <v>0.9600944152554624</v>
      </c>
      <c r="AP12" s="107" t="s">
        <v>7</v>
      </c>
      <c r="AQ12" s="163">
        <v>11482.42</v>
      </c>
      <c r="AR12" s="163">
        <v>1664976.97</v>
      </c>
      <c r="AS12" s="163">
        <v>1735770.79</v>
      </c>
      <c r="AT12" s="5">
        <f t="shared" si="3"/>
        <v>0.9592147647558926</v>
      </c>
      <c r="AU12" s="107" t="s">
        <v>7</v>
      </c>
      <c r="AV12" s="116">
        <v>7421.42</v>
      </c>
      <c r="AW12" s="116">
        <f t="shared" si="4"/>
        <v>1349548.2</v>
      </c>
      <c r="AX12" s="116">
        <v>1420930.15</v>
      </c>
      <c r="AY12" s="61">
        <f t="shared" si="5"/>
        <v>0.9497639275231088</v>
      </c>
      <c r="AZ12" s="107" t="s">
        <v>7</v>
      </c>
      <c r="BA12" s="116">
        <v>6432.96</v>
      </c>
      <c r="BB12" s="116">
        <v>1016501.35</v>
      </c>
      <c r="BC12" s="116">
        <v>1071659.13</v>
      </c>
      <c r="BD12" s="61">
        <f t="shared" si="6"/>
        <v>0.9485304809561974</v>
      </c>
    </row>
    <row r="13" spans="1:56" ht="12.75">
      <c r="A13" s="107" t="s">
        <v>8</v>
      </c>
      <c r="B13" s="115">
        <v>32437.89</v>
      </c>
      <c r="C13" s="116">
        <v>7576969.32</v>
      </c>
      <c r="D13" s="116">
        <v>7712997.34</v>
      </c>
      <c r="E13" s="61">
        <v>0.9824</v>
      </c>
      <c r="F13" s="107" t="s">
        <v>8</v>
      </c>
      <c r="G13" s="115">
        <v>16911.72</v>
      </c>
      <c r="H13" s="116">
        <v>6852358.11</v>
      </c>
      <c r="I13" s="116">
        <v>6929019.33</v>
      </c>
      <c r="J13" s="61">
        <v>0.9889</v>
      </c>
      <c r="K13" s="107" t="s">
        <v>8</v>
      </c>
      <c r="L13" s="115">
        <v>17362.17</v>
      </c>
      <c r="M13" s="116">
        <v>5709864.29</v>
      </c>
      <c r="N13" s="116">
        <v>5784111.98</v>
      </c>
      <c r="O13" s="61">
        <v>0.9872</v>
      </c>
      <c r="P13" s="202" t="s">
        <v>8</v>
      </c>
      <c r="Q13" s="125">
        <v>28736.24</v>
      </c>
      <c r="R13" s="125">
        <v>5516329.42</v>
      </c>
      <c r="S13" s="125">
        <v>5658889.18</v>
      </c>
      <c r="T13" s="88">
        <v>0.9748</v>
      </c>
      <c r="U13" s="107" t="s">
        <v>8</v>
      </c>
      <c r="V13" s="155">
        <v>25176.59</v>
      </c>
      <c r="W13" s="155">
        <v>4607593.79</v>
      </c>
      <c r="X13" s="155">
        <v>4706727.73</v>
      </c>
      <c r="Y13" s="5">
        <v>0.9789</v>
      </c>
      <c r="Z13" s="107" t="s">
        <v>8</v>
      </c>
      <c r="AA13" s="82">
        <v>17831.01</v>
      </c>
      <c r="AB13" s="82">
        <v>2900848.16</v>
      </c>
      <c r="AC13" s="82">
        <v>2971595.87</v>
      </c>
      <c r="AD13" s="5">
        <f t="shared" si="0"/>
        <v>0.9761920149660189</v>
      </c>
      <c r="AE13" s="107" t="s">
        <v>8</v>
      </c>
      <c r="AF13" s="155">
        <v>26857.07</v>
      </c>
      <c r="AG13" s="155">
        <v>2454931.94</v>
      </c>
      <c r="AH13" s="155">
        <v>2534067.88</v>
      </c>
      <c r="AI13" s="5">
        <f t="shared" si="1"/>
        <v>0.9687711838247995</v>
      </c>
      <c r="AJ13" s="107" t="s">
        <v>8</v>
      </c>
      <c r="AK13" s="185">
        <v>16752.43</v>
      </c>
      <c r="AL13" s="185">
        <v>16752.43</v>
      </c>
      <c r="AM13" s="185">
        <v>2105718.67</v>
      </c>
      <c r="AN13" s="185">
        <v>2175216.9</v>
      </c>
      <c r="AO13" s="5">
        <f t="shared" si="2"/>
        <v>0.9680499769930989</v>
      </c>
      <c r="AP13" s="107" t="s">
        <v>8</v>
      </c>
      <c r="AQ13" s="155">
        <v>14575.21</v>
      </c>
      <c r="AR13" s="155">
        <v>1679552.18</v>
      </c>
      <c r="AS13" s="163">
        <v>1735770.79</v>
      </c>
      <c r="AT13" s="5">
        <f t="shared" si="3"/>
        <v>0.967611731731008</v>
      </c>
      <c r="AU13" s="107" t="s">
        <v>8</v>
      </c>
      <c r="AV13" s="116">
        <v>7858.76</v>
      </c>
      <c r="AW13" s="116">
        <f t="shared" si="4"/>
        <v>1357406.96</v>
      </c>
      <c r="AX13" s="116">
        <v>1420937.42</v>
      </c>
      <c r="AY13" s="61">
        <f t="shared" si="5"/>
        <v>0.9552897551251764</v>
      </c>
      <c r="AZ13" s="107" t="s">
        <v>8</v>
      </c>
      <c r="BA13" s="168">
        <v>9757.72</v>
      </c>
      <c r="BB13" s="168">
        <v>1026259.07</v>
      </c>
      <c r="BC13" s="168">
        <v>1072483.3</v>
      </c>
      <c r="BD13" s="61">
        <f t="shared" si="6"/>
        <v>0.9568998137313652</v>
      </c>
    </row>
    <row r="14" spans="1:56" ht="12.75">
      <c r="A14" s="107" t="s">
        <v>9</v>
      </c>
      <c r="B14" s="115">
        <v>18815.32</v>
      </c>
      <c r="C14" s="116">
        <v>7595784.06</v>
      </c>
      <c r="D14" s="116">
        <v>7712997.34</v>
      </c>
      <c r="E14" s="61">
        <v>0.9848</v>
      </c>
      <c r="F14" s="107" t="s">
        <v>9</v>
      </c>
      <c r="G14" s="115">
        <v>19107.13</v>
      </c>
      <c r="H14" s="116">
        <v>6871465.24</v>
      </c>
      <c r="I14" s="116">
        <v>6928840.03</v>
      </c>
      <c r="J14" s="61">
        <v>0.9917</v>
      </c>
      <c r="K14" s="107" t="s">
        <v>9</v>
      </c>
      <c r="L14" s="115">
        <v>9410.73</v>
      </c>
      <c r="M14" s="116">
        <v>5719275.08</v>
      </c>
      <c r="N14" s="116">
        <v>5782235.54</v>
      </c>
      <c r="O14" s="61">
        <v>0.9891</v>
      </c>
      <c r="P14" s="202" t="s">
        <v>9</v>
      </c>
      <c r="Q14" s="125">
        <v>14015.31</v>
      </c>
      <c r="R14" s="125">
        <v>5530344.59</v>
      </c>
      <c r="S14" s="125">
        <v>5658889.18</v>
      </c>
      <c r="T14" s="88">
        <v>0.9773</v>
      </c>
      <c r="U14" s="107" t="s">
        <v>9</v>
      </c>
      <c r="V14" s="155">
        <v>26341.33</v>
      </c>
      <c r="W14" s="155">
        <v>4633935.12</v>
      </c>
      <c r="X14" s="155">
        <v>4706847.34</v>
      </c>
      <c r="Y14" s="5">
        <v>0.9845</v>
      </c>
      <c r="Z14" s="107" t="s">
        <v>9</v>
      </c>
      <c r="AA14" s="82">
        <v>11604.88</v>
      </c>
      <c r="AB14" s="82">
        <v>2912453.04</v>
      </c>
      <c r="AC14" s="82">
        <v>2971563.39</v>
      </c>
      <c r="AD14" s="5">
        <f t="shared" si="0"/>
        <v>0.9801079962827244</v>
      </c>
      <c r="AE14" s="107" t="s">
        <v>9</v>
      </c>
      <c r="AF14" s="155">
        <v>17862.78</v>
      </c>
      <c r="AG14" s="155">
        <v>2472794.22</v>
      </c>
      <c r="AH14" s="155">
        <v>2540651.14</v>
      </c>
      <c r="AI14" s="7">
        <f t="shared" si="1"/>
        <v>0.9732915239988439</v>
      </c>
      <c r="AJ14" s="107" t="s">
        <v>9</v>
      </c>
      <c r="AK14" s="184">
        <v>16111.79</v>
      </c>
      <c r="AL14" s="184">
        <v>16111.79</v>
      </c>
      <c r="AM14" s="184">
        <v>2121831.01</v>
      </c>
      <c r="AN14" s="184">
        <v>2175594.59</v>
      </c>
      <c r="AO14" s="5">
        <f t="shared" si="2"/>
        <v>0.9752878683155761</v>
      </c>
      <c r="AP14" s="107" t="s">
        <v>9</v>
      </c>
      <c r="AQ14" s="155">
        <v>6925.32</v>
      </c>
      <c r="AR14" s="155">
        <v>1686353.14</v>
      </c>
      <c r="AS14" s="155">
        <v>1735534.71</v>
      </c>
      <c r="AT14" s="5">
        <f t="shared" si="3"/>
        <v>0.9716620072669131</v>
      </c>
      <c r="AU14" s="107" t="s">
        <v>9</v>
      </c>
      <c r="AV14" s="116">
        <v>10573.72</v>
      </c>
      <c r="AW14" s="116">
        <f t="shared" si="4"/>
        <v>1367980.68</v>
      </c>
      <c r="AX14" s="116">
        <v>1420937.42</v>
      </c>
      <c r="AY14" s="61">
        <f t="shared" si="5"/>
        <v>0.962731124358735</v>
      </c>
      <c r="AZ14" s="107" t="s">
        <v>9</v>
      </c>
      <c r="BA14" s="116">
        <v>5798.3</v>
      </c>
      <c r="BB14" s="116">
        <v>1032057.37</v>
      </c>
      <c r="BC14" s="116">
        <v>1072762.97</v>
      </c>
      <c r="BD14" s="61">
        <f t="shared" si="6"/>
        <v>0.9620553643830566</v>
      </c>
    </row>
    <row r="15" spans="1:56" ht="12.75">
      <c r="A15" s="107" t="s">
        <v>10</v>
      </c>
      <c r="B15" s="115">
        <v>10086.33</v>
      </c>
      <c r="C15" s="116">
        <v>7605870.52</v>
      </c>
      <c r="D15" s="116">
        <v>7710301.9</v>
      </c>
      <c r="E15" s="61">
        <v>0.9865</v>
      </c>
      <c r="F15" s="107" t="s">
        <v>10</v>
      </c>
      <c r="G15" s="116">
        <v>6674.14</v>
      </c>
      <c r="H15" s="116">
        <v>6878140.62</v>
      </c>
      <c r="I15" s="116">
        <v>6928549.31</v>
      </c>
      <c r="J15" s="61">
        <v>0.9927</v>
      </c>
      <c r="K15" s="107" t="s">
        <v>10</v>
      </c>
      <c r="L15" s="115">
        <v>5469.26</v>
      </c>
      <c r="M15" s="116">
        <v>5724744.28</v>
      </c>
      <c r="N15" s="116">
        <v>5782270.6</v>
      </c>
      <c r="O15" s="61">
        <v>0.9901</v>
      </c>
      <c r="P15" s="202" t="s">
        <v>10</v>
      </c>
      <c r="Q15" s="125">
        <v>7356.8</v>
      </c>
      <c r="R15" s="125">
        <v>5537701.35</v>
      </c>
      <c r="S15" s="125">
        <v>5658889.18</v>
      </c>
      <c r="T15" s="88">
        <v>0.9786</v>
      </c>
      <c r="U15" s="107" t="s">
        <v>10</v>
      </c>
      <c r="V15" s="155">
        <v>19102.42</v>
      </c>
      <c r="W15" s="155">
        <v>4653037.56</v>
      </c>
      <c r="X15" s="155">
        <v>4706847.34</v>
      </c>
      <c r="Y15" s="5">
        <v>0.9886</v>
      </c>
      <c r="Z15" s="107" t="s">
        <v>10</v>
      </c>
      <c r="AA15" s="82">
        <v>11733.83</v>
      </c>
      <c r="AB15" s="82">
        <v>2924186.93</v>
      </c>
      <c r="AC15" s="82">
        <v>2972572.01</v>
      </c>
      <c r="AD15" s="5">
        <f t="shared" si="0"/>
        <v>0.983722823252985</v>
      </c>
      <c r="AE15" s="107" t="s">
        <v>10</v>
      </c>
      <c r="AF15" s="163">
        <v>12761.75</v>
      </c>
      <c r="AG15" s="163">
        <v>2485556.9</v>
      </c>
      <c r="AH15" s="163">
        <v>2540651.14</v>
      </c>
      <c r="AI15" s="7">
        <f t="shared" si="1"/>
        <v>0.9783149133965712</v>
      </c>
      <c r="AJ15" s="107" t="s">
        <v>10</v>
      </c>
      <c r="AK15" s="184">
        <v>12174.97</v>
      </c>
      <c r="AL15" s="184">
        <v>12174.97</v>
      </c>
      <c r="AM15" s="184">
        <v>2134006.11</v>
      </c>
      <c r="AN15" s="184">
        <v>2175594.59</v>
      </c>
      <c r="AO15" s="5">
        <f t="shared" si="2"/>
        <v>0.9808840855777271</v>
      </c>
      <c r="AP15" s="107" t="s">
        <v>10</v>
      </c>
      <c r="AQ15" s="181"/>
      <c r="AR15" s="181"/>
      <c r="AS15" s="181"/>
      <c r="AT15" s="159" t="e">
        <f t="shared" si="3"/>
        <v>#DIV/0!</v>
      </c>
      <c r="AU15" s="107" t="s">
        <v>10</v>
      </c>
      <c r="AV15" s="116">
        <v>14535.71</v>
      </c>
      <c r="AW15" s="116">
        <f t="shared" si="4"/>
        <v>1382516.39</v>
      </c>
      <c r="AX15" s="116">
        <v>1420937.41</v>
      </c>
      <c r="AY15" s="61">
        <f t="shared" si="5"/>
        <v>0.9729607935369933</v>
      </c>
      <c r="AZ15" s="107" t="s">
        <v>10</v>
      </c>
      <c r="BA15" s="116"/>
      <c r="BB15" s="116"/>
      <c r="BC15" s="116"/>
      <c r="BD15" s="61" t="e">
        <f t="shared" si="6"/>
        <v>#DIV/0!</v>
      </c>
    </row>
    <row r="16" spans="1:56" ht="12.75">
      <c r="A16" s="108" t="s">
        <v>11</v>
      </c>
      <c r="B16" s="117">
        <v>8316.29</v>
      </c>
      <c r="C16" s="116">
        <v>7614186.51</v>
      </c>
      <c r="D16" s="116">
        <v>7710301.9</v>
      </c>
      <c r="E16" s="61">
        <v>0.9875</v>
      </c>
      <c r="F16" s="108" t="s">
        <v>11</v>
      </c>
      <c r="G16" s="170">
        <v>3314.15</v>
      </c>
      <c r="H16" s="118">
        <f>H15+G16-0.33</f>
        <v>6881454.44</v>
      </c>
      <c r="I16" s="118">
        <v>6928118.28</v>
      </c>
      <c r="J16" s="122">
        <v>0.9933</v>
      </c>
      <c r="K16" s="108" t="s">
        <v>11</v>
      </c>
      <c r="L16" s="117">
        <v>3721.31</v>
      </c>
      <c r="M16" s="118">
        <v>5728465.59</v>
      </c>
      <c r="N16" s="118">
        <v>5782063.25</v>
      </c>
      <c r="O16" s="122">
        <v>0.9907</v>
      </c>
      <c r="P16" s="202" t="s">
        <v>11</v>
      </c>
      <c r="Q16" s="125">
        <v>64448.07</v>
      </c>
      <c r="R16" s="125">
        <v>5602149.59</v>
      </c>
      <c r="S16" s="125">
        <v>5657998.02</v>
      </c>
      <c r="T16" s="88">
        <v>0.9901</v>
      </c>
      <c r="U16" s="108" t="s">
        <v>11</v>
      </c>
      <c r="V16" s="124">
        <v>6442.41</v>
      </c>
      <c r="W16" s="124">
        <v>4659479.95</v>
      </c>
      <c r="X16" s="124">
        <v>4706354.87</v>
      </c>
      <c r="Y16" s="21">
        <v>0.99</v>
      </c>
      <c r="Z16" s="108" t="s">
        <v>11</v>
      </c>
      <c r="AA16" s="29">
        <v>12437.14</v>
      </c>
      <c r="AB16" s="29">
        <v>2936623.44</v>
      </c>
      <c r="AC16" s="29">
        <v>2972355.89</v>
      </c>
      <c r="AD16" s="21">
        <f t="shared" si="0"/>
        <v>0.9879784079288029</v>
      </c>
      <c r="AE16" s="108" t="s">
        <v>11</v>
      </c>
      <c r="AF16" s="132">
        <v>15538.48</v>
      </c>
      <c r="AG16" s="132">
        <v>2501095.92</v>
      </c>
      <c r="AH16" s="132">
        <v>2540651.14</v>
      </c>
      <c r="AI16" s="31">
        <f t="shared" si="1"/>
        <v>0.9844310699028123</v>
      </c>
      <c r="AJ16" s="108" t="s">
        <v>11</v>
      </c>
      <c r="AK16" s="145">
        <v>4644.49</v>
      </c>
      <c r="AL16" s="145">
        <v>4644.49</v>
      </c>
      <c r="AM16" s="145">
        <v>2138652.2</v>
      </c>
      <c r="AN16" s="145">
        <v>2175118.49</v>
      </c>
      <c r="AO16" s="21">
        <f t="shared" si="2"/>
        <v>0.9832348029922728</v>
      </c>
      <c r="AP16" s="108" t="s">
        <v>11</v>
      </c>
      <c r="AQ16" s="132">
        <v>5336.38</v>
      </c>
      <c r="AR16" s="132">
        <v>1691691.74</v>
      </c>
      <c r="AS16" s="132">
        <v>1736772.1</v>
      </c>
      <c r="AT16" s="21">
        <f t="shared" si="3"/>
        <v>0.9740435950116886</v>
      </c>
      <c r="AU16" s="108" t="s">
        <v>11</v>
      </c>
      <c r="AV16" s="117">
        <v>3359.1</v>
      </c>
      <c r="AW16" s="118">
        <v>1385639.31</v>
      </c>
      <c r="AX16" s="118">
        <v>1420805.48</v>
      </c>
      <c r="AY16" s="122">
        <f t="shared" si="5"/>
        <v>0.9752491312181595</v>
      </c>
      <c r="AZ16" s="108" t="s">
        <v>11</v>
      </c>
      <c r="BA16" s="169">
        <v>9565.29</v>
      </c>
      <c r="BB16" s="170">
        <v>1041665.15</v>
      </c>
      <c r="BC16" s="170">
        <v>1072429.42</v>
      </c>
      <c r="BD16" s="122">
        <f t="shared" si="6"/>
        <v>0.9713134781401279</v>
      </c>
    </row>
    <row r="17" spans="1:56" ht="25.5">
      <c r="A17" s="63" t="s">
        <v>27</v>
      </c>
      <c r="B17" s="125">
        <v>-1369.46</v>
      </c>
      <c r="C17" s="126"/>
      <c r="D17" s="126"/>
      <c r="E17" s="150"/>
      <c r="F17" s="149" t="s">
        <v>27</v>
      </c>
      <c r="G17" s="125">
        <v>-774.57</v>
      </c>
      <c r="H17" s="147"/>
      <c r="I17" s="118"/>
      <c r="J17" s="12"/>
      <c r="K17" s="63" t="s">
        <v>27</v>
      </c>
      <c r="L17" s="125">
        <v>-2</v>
      </c>
      <c r="M17" s="118"/>
      <c r="N17" s="118"/>
      <c r="O17" s="12"/>
      <c r="P17" s="63" t="s">
        <v>27</v>
      </c>
      <c r="Q17" s="125">
        <v>-11.76</v>
      </c>
      <c r="R17" s="126"/>
      <c r="S17" s="126"/>
      <c r="T17" s="62"/>
      <c r="U17" s="63" t="s">
        <v>27</v>
      </c>
      <c r="V17" s="128">
        <v>2.29</v>
      </c>
      <c r="W17" s="20"/>
      <c r="X17" s="20"/>
      <c r="Y17" s="13"/>
      <c r="Z17" s="63" t="s">
        <v>27</v>
      </c>
      <c r="AA17" s="20">
        <v>-850.11</v>
      </c>
      <c r="AB17" s="53"/>
      <c r="AC17" s="30"/>
      <c r="AD17" s="13"/>
      <c r="AE17" s="63" t="s">
        <v>27</v>
      </c>
      <c r="AF17" s="124">
        <v>-246.77</v>
      </c>
      <c r="AG17" s="124"/>
      <c r="AH17" s="124"/>
      <c r="AI17" s="13"/>
      <c r="AJ17" s="188"/>
      <c r="AK17" s="146"/>
      <c r="AL17" s="146"/>
      <c r="AM17" s="146"/>
      <c r="AN17" s="146"/>
      <c r="AO17" s="13"/>
      <c r="AP17" s="63" t="s">
        <v>27</v>
      </c>
      <c r="AQ17" s="124">
        <v>-60.11</v>
      </c>
      <c r="AR17" s="124"/>
      <c r="AS17" s="124"/>
      <c r="AT17" s="13"/>
      <c r="AU17" s="63" t="s">
        <v>27</v>
      </c>
      <c r="AV17" s="147">
        <v>-236.18</v>
      </c>
      <c r="AW17" s="126"/>
      <c r="AX17" s="126"/>
      <c r="AY17" s="62"/>
      <c r="AZ17" s="63" t="s">
        <v>27</v>
      </c>
      <c r="BA17" s="147"/>
      <c r="BB17" s="126"/>
      <c r="BC17" s="126"/>
      <c r="BD17" s="62"/>
    </row>
    <row r="18" spans="1:56" ht="15.75" customHeight="1" thickBot="1">
      <c r="A18" s="104" t="s">
        <v>28</v>
      </c>
      <c r="B18" s="119">
        <f>SUM(B5:B17)</f>
        <v>7614186.510000002</v>
      </c>
      <c r="C18" s="114"/>
      <c r="D18" s="114"/>
      <c r="E18" s="153"/>
      <c r="F18" s="104" t="s">
        <v>28</v>
      </c>
      <c r="G18" s="119">
        <f>SUM(G5:G17)</f>
        <v>6881454.4399999995</v>
      </c>
      <c r="H18" s="16"/>
      <c r="I18" s="116"/>
      <c r="J18" s="11"/>
      <c r="K18" s="104" t="s">
        <v>28</v>
      </c>
      <c r="L18" s="119">
        <f>SUM(L5:L17)</f>
        <v>5728465.589999999</v>
      </c>
      <c r="M18" s="116"/>
      <c r="N18" s="116"/>
      <c r="P18" s="104" t="s">
        <v>28</v>
      </c>
      <c r="Q18" s="127">
        <f>SUM(Q5:Q17)</f>
        <v>5602149.590000001</v>
      </c>
      <c r="R18" s="116"/>
      <c r="S18" s="116"/>
      <c r="T18" s="11"/>
      <c r="U18" s="64" t="s">
        <v>28</v>
      </c>
      <c r="V18" s="127">
        <f>SUM(V5:V17)</f>
        <v>4659479.95</v>
      </c>
      <c r="W18" s="76"/>
      <c r="X18" s="16"/>
      <c r="Y18" s="4"/>
      <c r="Z18" s="64" t="s">
        <v>28</v>
      </c>
      <c r="AA18" s="54">
        <f>SUM(AA5:AA17)</f>
        <v>2936623.4400000004</v>
      </c>
      <c r="AB18" s="82">
        <f>SUM(AB16:AB17)</f>
        <v>2936623.44</v>
      </c>
      <c r="AC18" s="26"/>
      <c r="AE18" s="64" t="s">
        <v>28</v>
      </c>
      <c r="AF18" s="158">
        <f>SUM(AF5:AF17)</f>
        <v>2501095.9199999995</v>
      </c>
      <c r="AG18" s="155">
        <f>SUM(AG16:AG17)</f>
        <v>2501095.92</v>
      </c>
      <c r="AH18" s="155"/>
      <c r="AJ18" s="151" t="s">
        <v>28</v>
      </c>
      <c r="AK18" s="184">
        <f>SUM(AK5:AK17)</f>
        <v>2140864.0400000005</v>
      </c>
      <c r="AL18" s="184">
        <f>SUM(AL6:AL17)</f>
        <v>2140054.6200000006</v>
      </c>
      <c r="AM18" s="189"/>
      <c r="AN18" s="189"/>
      <c r="AP18" s="64" t="s">
        <v>28</v>
      </c>
      <c r="AQ18" s="158">
        <f>SUM(AQ5:AQ17)</f>
        <v>1691691.74</v>
      </c>
      <c r="AR18" s="155">
        <f>SUM(AR16:AR17)</f>
        <v>1691691.74</v>
      </c>
      <c r="AS18" s="155"/>
      <c r="AT18" s="162"/>
      <c r="AU18" s="178" t="s">
        <v>28</v>
      </c>
      <c r="AV18" s="127">
        <f>SUM(AV5:AV17)</f>
        <v>1385639.31</v>
      </c>
      <c r="AW18" s="116"/>
      <c r="AX18" s="116"/>
      <c r="AY18" s="60"/>
      <c r="AZ18" s="178" t="s">
        <v>28</v>
      </c>
      <c r="BA18" s="127">
        <f>SUM(BA5:BA17)</f>
        <v>1041622.6600000001</v>
      </c>
      <c r="BB18" s="116"/>
      <c r="BC18" s="116"/>
      <c r="BD18" s="60"/>
    </row>
    <row r="19" spans="1:56" ht="13.5" thickTop="1">
      <c r="A19" s="72"/>
      <c r="B19" s="116"/>
      <c r="C19" s="116"/>
      <c r="D19" s="116"/>
      <c r="E19" s="154"/>
      <c r="F19" s="72"/>
      <c r="G19" s="16"/>
      <c r="H19" s="16"/>
      <c r="I19" s="16"/>
      <c r="J19" s="11"/>
      <c r="K19" s="72"/>
      <c r="L19" s="16"/>
      <c r="M19" s="16"/>
      <c r="N19" s="16"/>
      <c r="P19" s="72"/>
      <c r="Q19" s="16"/>
      <c r="R19" s="16"/>
      <c r="S19" s="16"/>
      <c r="T19" s="11"/>
      <c r="U19" s="72"/>
      <c r="V19" s="16"/>
      <c r="W19" s="16"/>
      <c r="X19" s="16"/>
      <c r="Y19" s="4"/>
      <c r="Z19" s="72"/>
      <c r="AA19" s="16"/>
      <c r="AB19" s="82"/>
      <c r="AC19" s="26"/>
      <c r="AE19" s="151"/>
      <c r="AF19" s="26"/>
      <c r="AG19" s="26"/>
      <c r="AH19" s="26"/>
      <c r="AJ19" s="151" t="s">
        <v>56</v>
      </c>
      <c r="AK19" s="145">
        <f>SUM(AK18-AM16)</f>
        <v>2211.8400000003166</v>
      </c>
      <c r="AL19" s="145">
        <f>SUM(AL18-AM16)</f>
        <v>1402.4200000003912</v>
      </c>
      <c r="AM19" s="189"/>
      <c r="AN19" s="189"/>
      <c r="AP19" s="72"/>
      <c r="AQ19" s="16"/>
      <c r="AR19" s="16"/>
      <c r="AS19" s="16"/>
      <c r="AT19" s="11"/>
      <c r="AU19" s="72"/>
      <c r="AV19" s="116"/>
      <c r="AW19" s="116"/>
      <c r="AX19" s="116"/>
      <c r="AY19" s="11"/>
      <c r="AZ19" s="72"/>
      <c r="BA19" s="116"/>
      <c r="BB19" s="116"/>
      <c r="BC19" s="116"/>
      <c r="BD19" s="11"/>
    </row>
    <row r="20" spans="1:56" ht="12.75">
      <c r="A20" s="198" t="s">
        <v>63</v>
      </c>
      <c r="B20" s="116">
        <f>D16-C16</f>
        <v>96115.3900000006</v>
      </c>
      <c r="C20" s="16"/>
      <c r="D20" s="16"/>
      <c r="E20" s="11"/>
      <c r="F20" s="198" t="s">
        <v>63</v>
      </c>
      <c r="G20" s="116">
        <v>46663.84</v>
      </c>
      <c r="H20" s="16"/>
      <c r="I20" s="16"/>
      <c r="J20" s="11"/>
      <c r="K20" s="198" t="s">
        <v>63</v>
      </c>
      <c r="L20" s="116">
        <f>N16-M16</f>
        <v>53597.66000000015</v>
      </c>
      <c r="M20" s="16"/>
      <c r="N20" s="16"/>
      <c r="P20" s="198" t="s">
        <v>63</v>
      </c>
      <c r="Q20" s="116">
        <f>S16-R16</f>
        <v>55848.4299999997</v>
      </c>
      <c r="R20" s="16"/>
      <c r="S20" s="16"/>
      <c r="T20" s="11"/>
      <c r="U20" s="198" t="s">
        <v>63</v>
      </c>
      <c r="V20" s="116">
        <f>X16-W16</f>
        <v>46874.919999999925</v>
      </c>
      <c r="W20" s="16"/>
      <c r="X20" s="16"/>
      <c r="Y20" s="4"/>
      <c r="Z20" s="198" t="s">
        <v>63</v>
      </c>
      <c r="AA20" s="131">
        <f>AC16-AB16</f>
        <v>35732.450000000186</v>
      </c>
      <c r="AB20" s="26"/>
      <c r="AC20" s="26"/>
      <c r="AE20" s="198" t="s">
        <v>63</v>
      </c>
      <c r="AF20" s="155">
        <f>AH16-AG16</f>
        <v>39555.220000000205</v>
      </c>
      <c r="AG20" s="26"/>
      <c r="AH20" s="26"/>
      <c r="AJ20" s="151"/>
      <c r="AK20" s="184">
        <f>SUM(AK18-AK19)</f>
        <v>2138652.2</v>
      </c>
      <c r="AL20" s="184">
        <f>SUM(AL18-AL19)</f>
        <v>2138652.2</v>
      </c>
      <c r="AM20" s="189"/>
      <c r="AN20" s="189"/>
      <c r="AP20" s="72" t="s">
        <v>63</v>
      </c>
      <c r="AQ20" s="116">
        <v>45080.36</v>
      </c>
      <c r="AR20" s="16"/>
      <c r="AS20" s="16"/>
      <c r="AT20" s="11"/>
      <c r="AU20" s="72" t="s">
        <v>63</v>
      </c>
      <c r="AV20" s="116">
        <f>AX16-AV18</f>
        <v>35166.169999999925</v>
      </c>
      <c r="AW20" s="16"/>
      <c r="AX20" s="116"/>
      <c r="AY20" s="11"/>
      <c r="AZ20" s="72" t="s">
        <v>63</v>
      </c>
      <c r="BA20" s="116">
        <f>BC16-BA18</f>
        <v>30806.759999999776</v>
      </c>
      <c r="BB20" s="16"/>
      <c r="BC20" s="116"/>
      <c r="BD20" s="11"/>
    </row>
    <row r="21" spans="1:56" ht="12.75">
      <c r="A21" s="156"/>
      <c r="B21" s="116"/>
      <c r="C21" s="16"/>
      <c r="D21" s="16"/>
      <c r="E21" s="11"/>
      <c r="F21" s="191" t="s">
        <v>88</v>
      </c>
      <c r="G21" s="116">
        <f>-21315.21-434.39-0.39</f>
        <v>-21749.989999999998</v>
      </c>
      <c r="H21" s="16"/>
      <c r="I21" s="16"/>
      <c r="J21" s="11"/>
      <c r="K21" s="151" t="s">
        <v>80</v>
      </c>
      <c r="L21" s="116">
        <v>-34796.03</v>
      </c>
      <c r="M21" s="16"/>
      <c r="N21" s="16"/>
      <c r="P21" s="151" t="s">
        <v>82</v>
      </c>
      <c r="Q21" s="203">
        <v>-36003.05</v>
      </c>
      <c r="R21" s="16"/>
      <c r="S21" s="16"/>
      <c r="T21" s="11"/>
      <c r="U21" s="151" t="s">
        <v>83</v>
      </c>
      <c r="V21" s="116">
        <v>-31992.11</v>
      </c>
      <c r="W21" s="16"/>
      <c r="X21" s="16"/>
      <c r="Y21" s="4"/>
      <c r="Z21" s="151" t="s">
        <v>84</v>
      </c>
      <c r="AA21" s="116">
        <v>-26890.23</v>
      </c>
      <c r="AB21" s="26"/>
      <c r="AC21" s="26"/>
      <c r="AE21" s="151" t="s">
        <v>85</v>
      </c>
      <c r="AF21" s="155">
        <v>-29069.69</v>
      </c>
      <c r="AG21" s="26"/>
      <c r="AH21" s="26"/>
      <c r="AJ21" s="151"/>
      <c r="AK21" s="184"/>
      <c r="AL21" s="184"/>
      <c r="AM21" s="189"/>
      <c r="AN21" s="189"/>
      <c r="AP21" s="71" t="s">
        <v>92</v>
      </c>
      <c r="AQ21" s="116">
        <v>-24798.25</v>
      </c>
      <c r="AR21" s="16"/>
      <c r="AS21" s="16"/>
      <c r="AT21" s="11"/>
      <c r="AU21" s="156" t="s">
        <v>94</v>
      </c>
      <c r="AV21" s="116">
        <v>-17933.29</v>
      </c>
      <c r="AW21" s="116"/>
      <c r="AX21" s="116"/>
      <c r="AY21" s="11"/>
      <c r="AZ21" s="179" t="s">
        <v>101</v>
      </c>
      <c r="BA21" s="116">
        <v>-21280.9</v>
      </c>
      <c r="BB21" s="116"/>
      <c r="BC21" s="116"/>
      <c r="BD21" s="11"/>
    </row>
    <row r="22" spans="1:56" ht="12.75">
      <c r="A22" s="156"/>
      <c r="B22" s="116"/>
      <c r="C22" s="16"/>
      <c r="D22" s="16"/>
      <c r="E22" s="11"/>
      <c r="F22" s="72"/>
      <c r="G22" s="116"/>
      <c r="H22" s="16"/>
      <c r="I22" s="16"/>
      <c r="J22" s="11"/>
      <c r="K22" s="191" t="s">
        <v>88</v>
      </c>
      <c r="L22" s="116">
        <f>-5340-126.8</f>
        <v>-5466.8</v>
      </c>
      <c r="M22" s="16"/>
      <c r="N22" s="16"/>
      <c r="P22" s="151" t="s">
        <v>80</v>
      </c>
      <c r="Q22" s="116">
        <v>-6283.63</v>
      </c>
      <c r="R22" s="16"/>
      <c r="S22" s="16"/>
      <c r="T22" s="11"/>
      <c r="U22" s="151" t="s">
        <v>82</v>
      </c>
      <c r="V22" s="116">
        <v>-5099.07</v>
      </c>
      <c r="W22" s="16"/>
      <c r="X22" s="16"/>
      <c r="Y22" s="4"/>
      <c r="Z22" s="151" t="s">
        <v>83</v>
      </c>
      <c r="AA22" s="116">
        <v>-3335.68</v>
      </c>
      <c r="AB22" s="26"/>
      <c r="AC22" s="26"/>
      <c r="AE22" s="151" t="s">
        <v>84</v>
      </c>
      <c r="AF22" s="163">
        <v>-3732.44</v>
      </c>
      <c r="AG22" s="26"/>
      <c r="AH22" s="26"/>
      <c r="AJ22" s="190" t="s">
        <v>63</v>
      </c>
      <c r="AK22" s="155">
        <f>AN16-AM16</f>
        <v>36466.29000000004</v>
      </c>
      <c r="AL22" s="184"/>
      <c r="AM22" s="189"/>
      <c r="AN22" s="189"/>
      <c r="AP22" s="71" t="s">
        <v>86</v>
      </c>
      <c r="AQ22" s="116">
        <v>-7672.99</v>
      </c>
      <c r="AR22" s="16"/>
      <c r="AS22" s="16"/>
      <c r="AT22" s="11"/>
      <c r="AU22" s="71" t="s">
        <v>92</v>
      </c>
      <c r="AV22" s="116">
        <v>-5759.55</v>
      </c>
      <c r="AW22" s="116"/>
      <c r="AX22" s="116"/>
      <c r="AY22" s="11"/>
      <c r="AZ22" s="156" t="s">
        <v>94</v>
      </c>
      <c r="BA22" s="116">
        <v>-3788.35</v>
      </c>
      <c r="BB22" s="116"/>
      <c r="BC22" s="116"/>
      <c r="BD22" s="11"/>
    </row>
    <row r="23" spans="1:56" ht="12.75">
      <c r="A23" s="156"/>
      <c r="B23" s="116"/>
      <c r="C23" s="16"/>
      <c r="D23" s="16"/>
      <c r="E23" s="11"/>
      <c r="F23" s="72"/>
      <c r="G23" s="116"/>
      <c r="H23" s="16"/>
      <c r="I23" s="16"/>
      <c r="J23" s="11"/>
      <c r="K23" s="72"/>
      <c r="L23" s="116"/>
      <c r="M23" s="16"/>
      <c r="N23" s="16"/>
      <c r="P23" s="191" t="s">
        <v>88</v>
      </c>
      <c r="Q23" s="116">
        <f>-2400.89-234.98</f>
        <v>-2635.87</v>
      </c>
      <c r="R23" s="16"/>
      <c r="S23" s="16"/>
      <c r="T23" s="11"/>
      <c r="U23" s="151" t="s">
        <v>80</v>
      </c>
      <c r="V23" s="116">
        <f>-1082.47+0.03</f>
        <v>-1082.44</v>
      </c>
      <c r="W23" s="16"/>
      <c r="X23" s="16"/>
      <c r="Y23" s="4"/>
      <c r="Z23" s="151" t="s">
        <v>82</v>
      </c>
      <c r="AA23" s="155">
        <v>-791.96</v>
      </c>
      <c r="AB23" s="26"/>
      <c r="AC23" s="26"/>
      <c r="AE23" s="151" t="s">
        <v>83</v>
      </c>
      <c r="AF23" s="155">
        <v>-1022.11</v>
      </c>
      <c r="AG23" s="26"/>
      <c r="AH23" s="26"/>
      <c r="AJ23" s="151" t="s">
        <v>86</v>
      </c>
      <c r="AK23" s="155">
        <v>-24932.98</v>
      </c>
      <c r="AL23" s="184"/>
      <c r="AM23" s="189"/>
      <c r="AN23" s="189"/>
      <c r="AP23" s="71" t="s">
        <v>87</v>
      </c>
      <c r="AQ23" s="116">
        <v>-2134.56</v>
      </c>
      <c r="AR23" s="16"/>
      <c r="AS23" s="16"/>
      <c r="AT23" s="11"/>
      <c r="AU23" s="71" t="s">
        <v>86</v>
      </c>
      <c r="AV23" s="116">
        <v>-5076.71</v>
      </c>
      <c r="AW23" s="116"/>
      <c r="AX23" s="116"/>
      <c r="AY23" s="11"/>
      <c r="AZ23" s="71" t="s">
        <v>92</v>
      </c>
      <c r="BA23" s="116">
        <v>-1640.82</v>
      </c>
      <c r="BB23" s="116"/>
      <c r="BC23" s="116"/>
      <c r="BD23" s="11"/>
    </row>
    <row r="24" spans="1:56" ht="12.75">
      <c r="A24" s="156"/>
      <c r="B24" s="116"/>
      <c r="C24" s="16"/>
      <c r="D24" s="16"/>
      <c r="E24" s="11"/>
      <c r="F24" s="72"/>
      <c r="G24" s="116"/>
      <c r="H24" s="16"/>
      <c r="I24" s="16"/>
      <c r="J24" s="11"/>
      <c r="K24" s="72"/>
      <c r="L24" s="116"/>
      <c r="M24" s="16"/>
      <c r="N24" s="16"/>
      <c r="P24" s="72"/>
      <c r="Q24" s="116"/>
      <c r="R24" s="16"/>
      <c r="S24" s="16"/>
      <c r="T24" s="11"/>
      <c r="U24" s="191" t="s">
        <v>88</v>
      </c>
      <c r="V24" s="116">
        <f>-1225.13-48.89</f>
        <v>-1274.0200000000002</v>
      </c>
      <c r="W24" s="16"/>
      <c r="X24" s="16"/>
      <c r="Y24" s="4"/>
      <c r="Z24" s="151" t="s">
        <v>80</v>
      </c>
      <c r="AA24" s="155">
        <v>-229.3</v>
      </c>
      <c r="AB24" s="26"/>
      <c r="AC24" s="26"/>
      <c r="AE24" s="151" t="s">
        <v>82</v>
      </c>
      <c r="AF24" s="155">
        <f>-525.23-66.29</f>
        <v>-591.52</v>
      </c>
      <c r="AG24" s="26"/>
      <c r="AH24" s="26"/>
      <c r="AJ24" s="151" t="s">
        <v>87</v>
      </c>
      <c r="AK24" s="155">
        <v>-5036.62</v>
      </c>
      <c r="AL24" s="184"/>
      <c r="AM24" s="189"/>
      <c r="AN24" s="189"/>
      <c r="AP24" s="71" t="s">
        <v>84</v>
      </c>
      <c r="AQ24" s="116">
        <v>-940.13</v>
      </c>
      <c r="AR24" s="16"/>
      <c r="AS24" s="16"/>
      <c r="AT24" s="11"/>
      <c r="AU24" s="71" t="s">
        <v>87</v>
      </c>
      <c r="AV24" s="116">
        <v>-1189.72</v>
      </c>
      <c r="AW24" s="116"/>
      <c r="AX24" s="116"/>
      <c r="AY24" s="11"/>
      <c r="AZ24" s="71" t="s">
        <v>86</v>
      </c>
      <c r="BA24" s="116">
        <v>-1199.79</v>
      </c>
      <c r="BB24" s="116"/>
      <c r="BC24" s="116"/>
      <c r="BD24" s="11"/>
    </row>
    <row r="25" spans="1:56" ht="12.75">
      <c r="A25" s="156"/>
      <c r="B25" s="116"/>
      <c r="C25" s="16"/>
      <c r="D25" s="16"/>
      <c r="E25" s="11"/>
      <c r="F25" s="72"/>
      <c r="G25" s="116"/>
      <c r="H25" s="16"/>
      <c r="I25" s="16"/>
      <c r="J25" s="11"/>
      <c r="K25" s="72"/>
      <c r="L25" s="116"/>
      <c r="M25" s="16"/>
      <c r="N25" s="16"/>
      <c r="P25" s="72"/>
      <c r="Q25" s="116"/>
      <c r="R25" s="16"/>
      <c r="S25" s="16"/>
      <c r="T25" s="11"/>
      <c r="U25" s="72"/>
      <c r="V25" s="116"/>
      <c r="W25" s="16"/>
      <c r="X25" s="16"/>
      <c r="Y25" s="4"/>
      <c r="Z25" s="191" t="s">
        <v>88</v>
      </c>
      <c r="AA25" s="155">
        <f>-773.37-22.85</f>
        <v>-796.22</v>
      </c>
      <c r="AB25" s="26"/>
      <c r="AC25" s="26"/>
      <c r="AE25" s="151" t="s">
        <v>80</v>
      </c>
      <c r="AF25" s="155">
        <v>-273.15</v>
      </c>
      <c r="AG25" s="26"/>
      <c r="AH25" s="26"/>
      <c r="AJ25" s="151" t="s">
        <v>84</v>
      </c>
      <c r="AK25" s="155">
        <v>-1262.71</v>
      </c>
      <c r="AL25" s="184"/>
      <c r="AM25" s="189"/>
      <c r="AN25" s="189"/>
      <c r="AP25" s="164" t="s">
        <v>83</v>
      </c>
      <c r="AQ25" s="116">
        <v>-380.09</v>
      </c>
      <c r="AR25" s="16"/>
      <c r="AS25" s="16"/>
      <c r="AT25" s="11"/>
      <c r="AU25" s="71" t="s">
        <v>84</v>
      </c>
      <c r="AV25" s="116">
        <v>-342.43</v>
      </c>
      <c r="AW25" s="116"/>
      <c r="AX25" s="116"/>
      <c r="AY25" s="11"/>
      <c r="AZ25" s="71" t="s">
        <v>87</v>
      </c>
      <c r="BA25" s="116">
        <v>-356.27</v>
      </c>
      <c r="BB25" s="116"/>
      <c r="BC25" s="116"/>
      <c r="BD25" s="11"/>
    </row>
    <row r="26" spans="1:56" ht="12.75">
      <c r="A26" s="156"/>
      <c r="B26" s="116"/>
      <c r="C26" s="16"/>
      <c r="D26" s="16"/>
      <c r="E26" s="11"/>
      <c r="F26" s="72"/>
      <c r="G26" s="116"/>
      <c r="H26" s="16"/>
      <c r="I26" s="16"/>
      <c r="J26" s="11"/>
      <c r="K26" s="72"/>
      <c r="L26" s="116"/>
      <c r="M26" s="16"/>
      <c r="N26" s="16"/>
      <c r="P26" s="72"/>
      <c r="Q26" s="116"/>
      <c r="R26" s="16"/>
      <c r="S26" s="16"/>
      <c r="T26" s="11"/>
      <c r="U26" s="72"/>
      <c r="V26" s="116"/>
      <c r="W26" s="16"/>
      <c r="X26" s="16"/>
      <c r="Y26" s="4"/>
      <c r="Z26" s="72"/>
      <c r="AA26" s="26"/>
      <c r="AB26" s="26"/>
      <c r="AC26" s="26"/>
      <c r="AE26" s="191" t="s">
        <v>88</v>
      </c>
      <c r="AF26" s="155">
        <v>-536.05</v>
      </c>
      <c r="AG26" s="26"/>
      <c r="AH26" s="26"/>
      <c r="AJ26" s="156" t="s">
        <v>83</v>
      </c>
      <c r="AK26" s="155">
        <f>-195.79+15.14</f>
        <v>-180.64999999999998</v>
      </c>
      <c r="AL26" s="184"/>
      <c r="AM26" s="189"/>
      <c r="AN26" s="189"/>
      <c r="AP26" s="71" t="s">
        <v>82</v>
      </c>
      <c r="AQ26" s="116">
        <v>-88.73</v>
      </c>
      <c r="AR26" s="16"/>
      <c r="AS26" s="16"/>
      <c r="AT26" s="11"/>
      <c r="AU26" s="164" t="s">
        <v>83</v>
      </c>
      <c r="AV26" s="116">
        <v>15.14</v>
      </c>
      <c r="AW26" s="116"/>
      <c r="AX26" s="116"/>
      <c r="AY26" s="11"/>
      <c r="AZ26" s="71" t="s">
        <v>84</v>
      </c>
      <c r="BA26" s="116">
        <v>-74.45</v>
      </c>
      <c r="BB26" s="116"/>
      <c r="BC26" s="116"/>
      <c r="BD26" s="11"/>
    </row>
    <row r="27" spans="1:56" ht="12.75">
      <c r="A27" s="156"/>
      <c r="B27" s="116"/>
      <c r="C27" s="16"/>
      <c r="D27" s="16"/>
      <c r="E27" s="11"/>
      <c r="F27" s="72"/>
      <c r="G27" s="116"/>
      <c r="H27" s="16"/>
      <c r="I27" s="16"/>
      <c r="J27" s="11"/>
      <c r="K27" s="72"/>
      <c r="L27" s="116"/>
      <c r="M27" s="16"/>
      <c r="N27" s="16"/>
      <c r="P27" s="72"/>
      <c r="Q27" s="116"/>
      <c r="R27" s="16"/>
      <c r="S27" s="16"/>
      <c r="T27" s="11"/>
      <c r="U27" s="72"/>
      <c r="V27" s="116"/>
      <c r="W27" s="16"/>
      <c r="X27" s="16"/>
      <c r="Y27" s="4"/>
      <c r="Z27" s="72"/>
      <c r="AA27" s="26"/>
      <c r="AB27" s="26"/>
      <c r="AC27" s="26"/>
      <c r="AE27" s="151"/>
      <c r="AF27" s="26"/>
      <c r="AG27" s="26"/>
      <c r="AH27" s="26"/>
      <c r="AJ27" s="151" t="s">
        <v>82</v>
      </c>
      <c r="AK27" s="155">
        <f>-494.02-55.19</f>
        <v>-549.21</v>
      </c>
      <c r="AL27" s="184"/>
      <c r="AM27" s="189"/>
      <c r="AN27" s="189"/>
      <c r="AP27" s="71" t="s">
        <v>80</v>
      </c>
      <c r="AQ27" s="116">
        <v>-197.27</v>
      </c>
      <c r="AR27" s="16"/>
      <c r="AS27" s="16"/>
      <c r="AT27" s="11"/>
      <c r="AU27" s="71" t="s">
        <v>82</v>
      </c>
      <c r="AV27" s="116">
        <v>-17.25</v>
      </c>
      <c r="AW27" s="116"/>
      <c r="AX27" s="116"/>
      <c r="AY27" s="11"/>
      <c r="AZ27" s="164" t="s">
        <v>83</v>
      </c>
      <c r="BA27" s="116">
        <v>-31.13</v>
      </c>
      <c r="BB27" s="116"/>
      <c r="BC27" s="116"/>
      <c r="BD27" s="11"/>
    </row>
    <row r="28" spans="1:56" ht="12.75">
      <c r="A28" s="156"/>
      <c r="B28" s="116"/>
      <c r="C28" s="16"/>
      <c r="D28" s="16"/>
      <c r="E28" s="11"/>
      <c r="F28" s="72"/>
      <c r="G28" s="116"/>
      <c r="H28" s="16"/>
      <c r="I28" s="16"/>
      <c r="J28" s="11"/>
      <c r="K28" s="72"/>
      <c r="L28" s="116"/>
      <c r="M28" s="16"/>
      <c r="N28" s="16"/>
      <c r="P28" s="72"/>
      <c r="Q28" s="116"/>
      <c r="R28" s="16"/>
      <c r="S28" s="16"/>
      <c r="T28" s="11"/>
      <c r="U28" s="72"/>
      <c r="V28" s="116"/>
      <c r="W28" s="16"/>
      <c r="X28" s="16"/>
      <c r="Y28" s="4"/>
      <c r="Z28" s="72"/>
      <c r="AA28" s="26"/>
      <c r="AB28" s="26"/>
      <c r="AC28" s="26"/>
      <c r="AE28" s="72"/>
      <c r="AF28" s="155"/>
      <c r="AG28" s="26"/>
      <c r="AH28" s="26"/>
      <c r="AJ28" s="151" t="s">
        <v>80</v>
      </c>
      <c r="AK28" s="155">
        <v>-248.37</v>
      </c>
      <c r="AL28" s="184"/>
      <c r="AM28" s="189"/>
      <c r="AN28" s="189"/>
      <c r="AP28" s="164" t="s">
        <v>88</v>
      </c>
      <c r="AQ28" s="116">
        <v>-218.15</v>
      </c>
      <c r="AR28" s="16"/>
      <c r="AS28" s="16"/>
      <c r="AT28" s="11"/>
      <c r="AU28" s="71" t="s">
        <v>80</v>
      </c>
      <c r="AV28" s="116">
        <v>-35.95</v>
      </c>
      <c r="AW28" s="16"/>
      <c r="AX28" s="116"/>
      <c r="AY28" s="11"/>
      <c r="AZ28" s="71" t="s">
        <v>82</v>
      </c>
      <c r="BA28" s="116">
        <v>0</v>
      </c>
      <c r="BB28" s="116"/>
      <c r="BC28" s="116"/>
      <c r="BD28" s="11"/>
    </row>
    <row r="29" spans="1:56" ht="12.75">
      <c r="A29" s="156"/>
      <c r="B29" s="116"/>
      <c r="C29" s="16"/>
      <c r="D29" s="16"/>
      <c r="E29" s="11"/>
      <c r="F29" s="72"/>
      <c r="G29" s="116"/>
      <c r="H29" s="16"/>
      <c r="I29" s="16"/>
      <c r="J29" s="11"/>
      <c r="K29" s="72"/>
      <c r="L29" s="116"/>
      <c r="M29" s="16"/>
      <c r="N29" s="16"/>
      <c r="P29" s="72"/>
      <c r="Q29" s="116"/>
      <c r="R29" s="16"/>
      <c r="S29" s="16"/>
      <c r="T29" s="11"/>
      <c r="U29" s="72"/>
      <c r="V29" s="116"/>
      <c r="W29" s="16"/>
      <c r="X29" s="16"/>
      <c r="Y29" s="4"/>
      <c r="Z29" s="72"/>
      <c r="AA29" s="26"/>
      <c r="AB29" s="26"/>
      <c r="AC29" s="26"/>
      <c r="AE29" s="199"/>
      <c r="AF29" s="26"/>
      <c r="AG29" s="26"/>
      <c r="AH29" s="26"/>
      <c r="AJ29" s="191" t="s">
        <v>88</v>
      </c>
      <c r="AK29" s="155">
        <v>-120.98</v>
      </c>
      <c r="AL29" s="184"/>
      <c r="AM29" s="189"/>
      <c r="AN29" s="189"/>
      <c r="AP29" s="72"/>
      <c r="AQ29" s="116"/>
      <c r="AR29" s="16"/>
      <c r="AS29" s="16"/>
      <c r="AT29" s="11"/>
      <c r="AU29" s="164" t="s">
        <v>88</v>
      </c>
      <c r="AV29" s="116">
        <v>0</v>
      </c>
      <c r="AW29" s="116"/>
      <c r="AX29" s="116"/>
      <c r="AY29" s="11"/>
      <c r="AZ29" s="71" t="s">
        <v>80</v>
      </c>
      <c r="BA29" s="116">
        <v>0</v>
      </c>
      <c r="BB29" s="116"/>
      <c r="BC29" s="116"/>
      <c r="BD29" s="11"/>
    </row>
    <row r="30" spans="1:56" ht="12.75">
      <c r="A30" s="156"/>
      <c r="B30" s="116"/>
      <c r="C30" s="16"/>
      <c r="D30" s="16"/>
      <c r="E30" s="11"/>
      <c r="F30" s="72"/>
      <c r="G30" s="116"/>
      <c r="H30" s="16"/>
      <c r="I30" s="16"/>
      <c r="J30" s="11"/>
      <c r="K30" s="72"/>
      <c r="L30" s="116"/>
      <c r="M30" s="16"/>
      <c r="N30" s="16"/>
      <c r="O30" s="154"/>
      <c r="P30" s="72"/>
      <c r="Q30" s="116"/>
      <c r="R30" s="16"/>
      <c r="S30" s="16"/>
      <c r="T30" s="154"/>
      <c r="U30" s="72"/>
      <c r="V30" s="116"/>
      <c r="W30" s="16"/>
      <c r="X30" s="16"/>
      <c r="Y30" s="4"/>
      <c r="Z30" s="72"/>
      <c r="AA30" s="155"/>
      <c r="AB30" s="26"/>
      <c r="AC30" s="26"/>
      <c r="AE30" s="151"/>
      <c r="AF30" s="155"/>
      <c r="AG30" s="26"/>
      <c r="AH30" s="26"/>
      <c r="AJ30" s="151"/>
      <c r="AK30" s="155"/>
      <c r="AL30" s="184"/>
      <c r="AM30" s="189"/>
      <c r="AN30" s="189"/>
      <c r="AP30" s="72"/>
      <c r="AQ30" s="116"/>
      <c r="AR30" s="16"/>
      <c r="AS30" s="16"/>
      <c r="AT30" s="11"/>
      <c r="AU30" s="72"/>
      <c r="AV30" s="116"/>
      <c r="AW30" s="116"/>
      <c r="AX30" s="116"/>
      <c r="AY30" s="11"/>
      <c r="AZ30" s="164" t="s">
        <v>88</v>
      </c>
      <c r="BA30" s="116">
        <v>0</v>
      </c>
      <c r="BB30" s="116"/>
      <c r="BC30" s="116"/>
      <c r="BD30" s="11"/>
    </row>
    <row r="31" spans="1:56" ht="12.75">
      <c r="A31" s="156"/>
      <c r="B31" s="116"/>
      <c r="C31" s="16"/>
      <c r="D31" s="16"/>
      <c r="E31" s="11"/>
      <c r="F31" s="72"/>
      <c r="G31" s="116"/>
      <c r="H31" s="16"/>
      <c r="I31" s="16"/>
      <c r="J31" s="11"/>
      <c r="K31" s="72"/>
      <c r="L31" s="116"/>
      <c r="M31" s="16"/>
      <c r="N31" s="16"/>
      <c r="O31" s="154"/>
      <c r="P31" s="72"/>
      <c r="Q31" s="116"/>
      <c r="R31" s="16"/>
      <c r="S31" s="16"/>
      <c r="T31" s="154"/>
      <c r="U31" s="72"/>
      <c r="V31" s="116"/>
      <c r="W31" s="16"/>
      <c r="X31" s="16"/>
      <c r="Y31" s="4"/>
      <c r="Z31" s="72"/>
      <c r="AA31" s="155"/>
      <c r="AB31" s="26"/>
      <c r="AC31" s="26"/>
      <c r="AE31" s="151"/>
      <c r="AF31" s="155"/>
      <c r="AG31" s="26"/>
      <c r="AH31" s="26"/>
      <c r="AJ31" s="151"/>
      <c r="AK31" s="155"/>
      <c r="AL31" s="184"/>
      <c r="AM31" s="189"/>
      <c r="AN31" s="189"/>
      <c r="AP31" s="72"/>
      <c r="AQ31" s="116"/>
      <c r="AR31" s="16"/>
      <c r="AS31" s="16"/>
      <c r="AT31" s="11"/>
      <c r="AU31" s="72"/>
      <c r="AV31" s="116"/>
      <c r="AW31" s="116"/>
      <c r="AX31" s="116"/>
      <c r="AY31" s="11"/>
      <c r="AZ31" s="164"/>
      <c r="BA31" s="116"/>
      <c r="BB31" s="116"/>
      <c r="BC31" s="116"/>
      <c r="BD31" s="11"/>
    </row>
    <row r="32" spans="1:56" ht="12.75">
      <c r="A32" s="156"/>
      <c r="B32" s="116"/>
      <c r="C32" s="16"/>
      <c r="D32" s="16"/>
      <c r="E32" s="11"/>
      <c r="F32" s="72"/>
      <c r="G32" s="116"/>
      <c r="H32" s="16"/>
      <c r="I32" s="16"/>
      <c r="J32" s="11"/>
      <c r="K32" s="72"/>
      <c r="L32" s="116"/>
      <c r="M32" s="16"/>
      <c r="N32" s="16"/>
      <c r="O32" s="154"/>
      <c r="P32" s="72"/>
      <c r="Q32" s="116"/>
      <c r="R32" s="16"/>
      <c r="S32" s="16"/>
      <c r="T32" s="154"/>
      <c r="U32" s="72"/>
      <c r="V32" s="116"/>
      <c r="W32" s="16"/>
      <c r="X32" s="16"/>
      <c r="Y32" s="4"/>
      <c r="Z32" s="72"/>
      <c r="AA32" s="155"/>
      <c r="AB32" s="26"/>
      <c r="AC32" s="26"/>
      <c r="AE32" s="151"/>
      <c r="AF32" s="155"/>
      <c r="AG32" s="26"/>
      <c r="AH32" s="26"/>
      <c r="AJ32" s="151"/>
      <c r="AK32" s="155"/>
      <c r="AL32" s="184"/>
      <c r="AM32" s="189"/>
      <c r="AN32" s="189"/>
      <c r="AP32" s="72"/>
      <c r="AQ32" s="116"/>
      <c r="AR32" s="16"/>
      <c r="AS32" s="16"/>
      <c r="AT32" s="11"/>
      <c r="AU32" s="72"/>
      <c r="AV32" s="116"/>
      <c r="AW32" s="116"/>
      <c r="AX32" s="116"/>
      <c r="AY32" s="11"/>
      <c r="AZ32" s="164"/>
      <c r="BA32" s="116"/>
      <c r="BB32" s="116"/>
      <c r="BC32" s="116"/>
      <c r="BD32" s="11"/>
    </row>
    <row r="33" spans="1:56" ht="38.25">
      <c r="A33" s="180" t="s">
        <v>115</v>
      </c>
      <c r="B33" s="116"/>
      <c r="C33" s="16"/>
      <c r="D33" s="16"/>
      <c r="E33" s="11"/>
      <c r="F33" s="180" t="s">
        <v>115</v>
      </c>
      <c r="G33" s="116">
        <v>-2101.66</v>
      </c>
      <c r="H33" s="16"/>
      <c r="I33" s="16"/>
      <c r="J33" s="154"/>
      <c r="K33" s="180" t="s">
        <v>115</v>
      </c>
      <c r="L33" s="116">
        <f>-1708.7-95.62</f>
        <v>-1804.3200000000002</v>
      </c>
      <c r="M33" s="16"/>
      <c r="N33" s="16"/>
      <c r="P33" s="180" t="s">
        <v>115</v>
      </c>
      <c r="Q33" s="116">
        <v>-3078.3</v>
      </c>
      <c r="R33" s="16"/>
      <c r="S33" s="16"/>
      <c r="T33" s="11"/>
      <c r="U33" s="180" t="s">
        <v>115</v>
      </c>
      <c r="V33" s="116">
        <v>-737.64</v>
      </c>
      <c r="W33" s="16"/>
      <c r="X33" s="16"/>
      <c r="Y33" s="4"/>
      <c r="Z33" s="180" t="s">
        <v>115</v>
      </c>
      <c r="AA33" s="116">
        <v>-221.9</v>
      </c>
      <c r="AB33" s="26"/>
      <c r="AC33" s="26"/>
      <c r="AE33" s="180" t="s">
        <v>115</v>
      </c>
      <c r="AF33" s="155">
        <v>-2144.93</v>
      </c>
      <c r="AG33" s="26"/>
      <c r="AH33" s="26"/>
      <c r="AJ33" s="180" t="s">
        <v>115</v>
      </c>
      <c r="AK33" s="192">
        <v>-2140.79</v>
      </c>
      <c r="AL33" s="184"/>
      <c r="AM33" s="189"/>
      <c r="AN33" s="189"/>
      <c r="AP33" s="180" t="s">
        <v>115</v>
      </c>
      <c r="AQ33" s="116">
        <v>-1294.52</v>
      </c>
      <c r="AR33" s="16"/>
      <c r="AS33" s="16"/>
      <c r="AT33" s="11"/>
      <c r="AU33" s="180" t="s">
        <v>115</v>
      </c>
      <c r="AV33" s="116">
        <v>-749.55</v>
      </c>
      <c r="AW33" s="116"/>
      <c r="AX33" s="116"/>
      <c r="AY33" s="11"/>
      <c r="AZ33" s="180" t="s">
        <v>115</v>
      </c>
      <c r="BA33" s="116">
        <v>-385.19</v>
      </c>
      <c r="BB33" s="16"/>
      <c r="BC33" s="16"/>
      <c r="BD33" s="11"/>
    </row>
    <row r="34" spans="1:56" s="69" customFormat="1" ht="27" customHeight="1">
      <c r="A34" s="152" t="s">
        <v>81</v>
      </c>
      <c r="B34" s="171">
        <f>SUM(B20:B33)</f>
        <v>96115.3900000006</v>
      </c>
      <c r="C34" s="171">
        <f>C16-B21-B22-B23-B24-B25-B26-B27-B28-B29-B30-B31-B32</f>
        <v>7614186.51</v>
      </c>
      <c r="D34" s="171">
        <f>D16+B33</f>
        <v>7710301.9</v>
      </c>
      <c r="E34" s="214">
        <f>C34/D34</f>
        <v>0.9875341599788718</v>
      </c>
      <c r="F34" s="152" t="s">
        <v>81</v>
      </c>
      <c r="G34" s="171">
        <f>SUM(G20:G33)</f>
        <v>22812.19</v>
      </c>
      <c r="H34" s="171">
        <f>H16-G21-G22-G23-G24-G25-G26-G27-G28-G29-G30-G31-G32</f>
        <v>6903204.430000001</v>
      </c>
      <c r="I34" s="171">
        <f>I16+G33</f>
        <v>6926016.62</v>
      </c>
      <c r="J34" s="214">
        <f>H34/I34</f>
        <v>0.9967063044674012</v>
      </c>
      <c r="K34" s="152" t="s">
        <v>81</v>
      </c>
      <c r="L34" s="171">
        <f>SUM(L20:L33)</f>
        <v>11530.510000000151</v>
      </c>
      <c r="M34" s="171">
        <f>M16-L21-L22-L23-L24-L25-L26-L27-L28-L29-L30-L31-L32</f>
        <v>5768728.42</v>
      </c>
      <c r="N34" s="171">
        <f>N16+L33</f>
        <v>5780258.93</v>
      </c>
      <c r="O34" s="214">
        <f>M34/N34</f>
        <v>0.9980051914387165</v>
      </c>
      <c r="P34" s="152" t="s">
        <v>81</v>
      </c>
      <c r="Q34" s="171">
        <f>SUM(Q20:Q33)</f>
        <v>7847.579999999699</v>
      </c>
      <c r="R34" s="171">
        <f>R16-Q21-Q22-Q23-Q24-Q25-Q26-Q27-Q28-Q29-Q30-Q31-Q32</f>
        <v>5647072.14</v>
      </c>
      <c r="S34" s="171">
        <f>S16+Q33</f>
        <v>5654919.72</v>
      </c>
      <c r="T34" s="214">
        <f>R34/S34</f>
        <v>0.9986122561612598</v>
      </c>
      <c r="U34" s="152" t="s">
        <v>81</v>
      </c>
      <c r="V34" s="171">
        <f>SUM(V20:V33)</f>
        <v>6689.639999999924</v>
      </c>
      <c r="W34" s="171">
        <f>W16-V21-V22-V23-V24-V25-V26-V27-V28-V29-V30-V31-V32</f>
        <v>4698927.590000001</v>
      </c>
      <c r="X34" s="171">
        <f>X16+V33</f>
        <v>4705617.23</v>
      </c>
      <c r="Y34" s="214">
        <f>W34/X34</f>
        <v>0.9985783714073999</v>
      </c>
      <c r="Z34" s="152" t="s">
        <v>81</v>
      </c>
      <c r="AA34" s="172">
        <f>SUM(AA20:AA33)</f>
        <v>3467.160000000186</v>
      </c>
      <c r="AB34" s="171">
        <f>AB16-AA21-AA22-AA23-AA24-AA25-AA26-AA27-AA28-AA29-AA30-AA31-AA32</f>
        <v>2968666.83</v>
      </c>
      <c r="AC34" s="171">
        <f>AC16+AA33</f>
        <v>2972133.99</v>
      </c>
      <c r="AD34" s="214">
        <f>AB34/AC34</f>
        <v>0.9988334442485884</v>
      </c>
      <c r="AE34" s="152" t="s">
        <v>81</v>
      </c>
      <c r="AF34" s="200">
        <f>SUM(AF20:AF33)</f>
        <v>2185.330000000207</v>
      </c>
      <c r="AG34" s="171">
        <f>AG16-AF21-AF22-AF23-AF24-AF25-AF26-AF27-AF28-AF29-AF30-AF31-AF32</f>
        <v>2536320.8799999994</v>
      </c>
      <c r="AH34" s="171">
        <f>AH16+AF33</f>
        <v>2538506.21</v>
      </c>
      <c r="AI34" s="214">
        <f>AG34/AH34</f>
        <v>0.9991391275737708</v>
      </c>
      <c r="AJ34" s="152" t="s">
        <v>81</v>
      </c>
      <c r="AK34" s="193">
        <f>SUM(AK22:AK33)</f>
        <v>1993.9800000000387</v>
      </c>
      <c r="AL34" s="193"/>
      <c r="AM34" s="171">
        <f>AM16-AK23-AK24-AK25-AK26-AK27-AK28-AK29-AK30-AK31-AK32</f>
        <v>2170983.72</v>
      </c>
      <c r="AN34" s="171">
        <f>AN16+AK33</f>
        <v>2172977.7</v>
      </c>
      <c r="AO34" s="214">
        <f>AM34/AN34</f>
        <v>0.9990823743842379</v>
      </c>
      <c r="AP34" s="152" t="s">
        <v>81</v>
      </c>
      <c r="AQ34" s="171">
        <f>SUM(AQ20:AQ33)</f>
        <v>7355.670000000002</v>
      </c>
      <c r="AR34" s="171">
        <f>AR16-AQ21-AQ22-AQ23-AQ24-AQ25-AQ26-AQ27-AQ28-AQ29-AQ30-AQ31-AQ32</f>
        <v>1728121.91</v>
      </c>
      <c r="AS34" s="171">
        <f>AS16+AQ33</f>
        <v>1735477.58</v>
      </c>
      <c r="AT34" s="214">
        <f>AR34/AS34</f>
        <v>0.9957615874242524</v>
      </c>
      <c r="AU34" s="152" t="s">
        <v>81</v>
      </c>
      <c r="AV34" s="171">
        <f>SUM(AV20:AV33)</f>
        <v>4076.859999999925</v>
      </c>
      <c r="AW34" s="171">
        <f>AW16-AV21-AV22-AV23-AV24-AV25-AV26-AV27-AV28-AV29-AV30-AV31-AV32</f>
        <v>1415979.07</v>
      </c>
      <c r="AX34" s="171">
        <f>AX16+AV33</f>
        <v>1420055.93</v>
      </c>
      <c r="AY34" s="214">
        <f>AW34/AX34</f>
        <v>0.9971290849086487</v>
      </c>
      <c r="AZ34" s="152" t="s">
        <v>81</v>
      </c>
      <c r="BA34" s="171">
        <f>SUM(BA20:BA33)</f>
        <v>2049.859999999775</v>
      </c>
      <c r="BB34" s="171">
        <f>BB16-BA21-BA22-BA23-BA24-BA25-BA26-BA27-BA28-BA29-BA30-BA31-BA32</f>
        <v>1070036.86</v>
      </c>
      <c r="BC34" s="171">
        <f>BC16+BA33</f>
        <v>1072044.23</v>
      </c>
      <c r="BD34" s="214">
        <f>BB34/BC34</f>
        <v>0.9981275306150382</v>
      </c>
    </row>
    <row r="35" spans="1:56" ht="12.75">
      <c r="A35" s="72"/>
      <c r="B35" s="16"/>
      <c r="C35" s="16"/>
      <c r="D35" s="16"/>
      <c r="E35" s="11"/>
      <c r="F35" s="72"/>
      <c r="G35" s="16"/>
      <c r="H35" s="16"/>
      <c r="I35" s="16"/>
      <c r="J35" s="11"/>
      <c r="K35" s="72"/>
      <c r="L35" s="16"/>
      <c r="M35" s="16"/>
      <c r="N35" s="16"/>
      <c r="P35" s="72"/>
      <c r="Q35" s="204"/>
      <c r="R35" s="16"/>
      <c r="S35" s="16"/>
      <c r="T35" s="11"/>
      <c r="U35" s="72"/>
      <c r="V35" s="16"/>
      <c r="W35" s="16"/>
      <c r="X35" s="16"/>
      <c r="Y35" s="4"/>
      <c r="Z35" s="72"/>
      <c r="AA35" s="16"/>
      <c r="AB35" s="26"/>
      <c r="AC35" s="26"/>
      <c r="AE35" s="151"/>
      <c r="AF35" s="26"/>
      <c r="AG35" s="26"/>
      <c r="AH35" s="26"/>
      <c r="AJ35" s="151"/>
      <c r="AK35" s="194"/>
      <c r="AL35" s="194"/>
      <c r="AM35" s="26"/>
      <c r="AN35" s="26"/>
      <c r="AP35" s="72"/>
      <c r="AQ35" s="16"/>
      <c r="AR35" s="16"/>
      <c r="AS35" s="16"/>
      <c r="AT35" s="11"/>
      <c r="AU35" s="72"/>
      <c r="AV35" s="116"/>
      <c r="AW35" s="116"/>
      <c r="AX35" s="116"/>
      <c r="AY35" s="11"/>
      <c r="AZ35" s="72"/>
      <c r="BA35" s="16"/>
      <c r="BB35" s="16"/>
      <c r="BC35" s="16"/>
      <c r="BD35" s="11"/>
    </row>
    <row r="36" spans="1:56" ht="12.75">
      <c r="A36" s="72"/>
      <c r="B36" s="16"/>
      <c r="C36" s="16"/>
      <c r="D36" s="16"/>
      <c r="E36" s="11"/>
      <c r="F36" s="72"/>
      <c r="G36" s="16"/>
      <c r="H36" s="16"/>
      <c r="I36" s="16"/>
      <c r="J36" s="11"/>
      <c r="K36" s="72"/>
      <c r="L36" s="16"/>
      <c r="M36" s="16"/>
      <c r="N36" s="16"/>
      <c r="P36" s="72"/>
      <c r="Q36" s="16"/>
      <c r="R36" s="16"/>
      <c r="S36" s="16"/>
      <c r="T36" s="11"/>
      <c r="U36" s="72"/>
      <c r="V36" s="16"/>
      <c r="W36" s="16"/>
      <c r="X36" s="16"/>
      <c r="Y36" s="4"/>
      <c r="Z36" s="72"/>
      <c r="AA36" s="16"/>
      <c r="AB36" s="26"/>
      <c r="AC36" s="26"/>
      <c r="AE36" s="151"/>
      <c r="AF36" s="58"/>
      <c r="AG36" s="194"/>
      <c r="AH36" s="58"/>
      <c r="AI36" s="41"/>
      <c r="AJ36" s="195"/>
      <c r="AK36" s="196" t="s">
        <v>18</v>
      </c>
      <c r="AL36" s="197" t="s">
        <v>19</v>
      </c>
      <c r="AM36" s="196"/>
      <c r="AN36" s="196"/>
      <c r="AP36" s="182" t="s">
        <v>91</v>
      </c>
      <c r="AQ36" s="183"/>
      <c r="AR36" s="16"/>
      <c r="AS36" s="16"/>
      <c r="AT36" s="11"/>
      <c r="AU36" s="72"/>
      <c r="AV36" s="116"/>
      <c r="AW36" s="116"/>
      <c r="AX36" s="116"/>
      <c r="AY36" s="11"/>
      <c r="AZ36" s="72"/>
      <c r="BA36" s="16"/>
      <c r="BB36" s="16"/>
      <c r="BC36" s="16"/>
      <c r="BD36" s="11"/>
    </row>
    <row r="37" spans="1:56" ht="12.75">
      <c r="A37" s="72"/>
      <c r="B37" s="16"/>
      <c r="C37" s="16"/>
      <c r="D37" s="16"/>
      <c r="E37" s="11"/>
      <c r="F37" s="72"/>
      <c r="G37" s="16"/>
      <c r="H37" s="16"/>
      <c r="I37" s="16"/>
      <c r="J37" s="11"/>
      <c r="K37" s="72"/>
      <c r="L37" s="16"/>
      <c r="M37" s="16"/>
      <c r="N37" s="16"/>
      <c r="P37" s="72"/>
      <c r="Q37" s="16"/>
      <c r="R37" s="16"/>
      <c r="S37" s="16"/>
      <c r="T37" s="11"/>
      <c r="U37" s="72"/>
      <c r="V37" s="16"/>
      <c r="W37" s="16"/>
      <c r="X37" s="16"/>
      <c r="Y37" s="4"/>
      <c r="Z37" s="72"/>
      <c r="AA37" s="26"/>
      <c r="AB37" s="26"/>
      <c r="AC37" s="26"/>
      <c r="AE37" s="151"/>
      <c r="AF37" s="26"/>
      <c r="AG37" s="26"/>
      <c r="AH37" s="26"/>
      <c r="AJ37" s="151"/>
      <c r="AK37" s="230" t="s">
        <v>20</v>
      </c>
      <c r="AL37" s="231"/>
      <c r="AM37" s="232"/>
      <c r="AN37" s="232"/>
      <c r="AO37" s="233"/>
      <c r="AP37" s="72"/>
      <c r="AQ37" s="16"/>
      <c r="AR37" s="16"/>
      <c r="AS37" s="16"/>
      <c r="AT37" s="11"/>
      <c r="AU37" s="72"/>
      <c r="AV37" s="16"/>
      <c r="AW37" s="16"/>
      <c r="AX37" s="16"/>
      <c r="AY37" s="11"/>
      <c r="AZ37" s="72"/>
      <c r="BA37" s="16"/>
      <c r="BB37" s="16"/>
      <c r="BC37" s="16"/>
      <c r="BD37" s="11"/>
    </row>
    <row r="38" spans="1:56" ht="12.75">
      <c r="A38" s="72"/>
      <c r="B38" s="16"/>
      <c r="C38" s="16"/>
      <c r="D38" s="16"/>
      <c r="E38" s="11"/>
      <c r="F38" s="72"/>
      <c r="G38" s="16"/>
      <c r="H38" s="16"/>
      <c r="I38" s="16"/>
      <c r="J38" s="11"/>
      <c r="K38" s="72"/>
      <c r="L38" s="16"/>
      <c r="M38" s="16"/>
      <c r="N38" s="16"/>
      <c r="P38" s="72"/>
      <c r="Q38" s="16"/>
      <c r="R38" s="16"/>
      <c r="S38" s="16"/>
      <c r="T38" s="11"/>
      <c r="U38" s="72"/>
      <c r="V38" s="16"/>
      <c r="W38" s="16"/>
      <c r="X38" s="16"/>
      <c r="Y38" s="4"/>
      <c r="Z38" s="72"/>
      <c r="AA38" s="26"/>
      <c r="AB38" s="26"/>
      <c r="AC38" s="26"/>
      <c r="AE38" s="151"/>
      <c r="AF38" s="26"/>
      <c r="AG38" s="26"/>
      <c r="AH38" s="26"/>
      <c r="AJ38" s="151"/>
      <c r="AK38" s="230"/>
      <c r="AL38" s="231"/>
      <c r="AM38" s="232"/>
      <c r="AN38" s="232"/>
      <c r="AO38" s="233"/>
      <c r="AP38" s="72"/>
      <c r="AQ38" s="16"/>
      <c r="AR38" s="16"/>
      <c r="AS38" s="16"/>
      <c r="AT38" s="11"/>
      <c r="AU38" s="72"/>
      <c r="AV38" s="16"/>
      <c r="AW38" s="16"/>
      <c r="AX38" s="16"/>
      <c r="AY38" s="11"/>
      <c r="AZ38" s="72"/>
      <c r="BA38" s="16"/>
      <c r="BB38" s="16"/>
      <c r="BC38" s="16"/>
      <c r="BD38" s="11"/>
    </row>
    <row r="39" spans="1:56" ht="12.75">
      <c r="A39" s="48"/>
      <c r="B39" s="39"/>
      <c r="C39" s="39"/>
      <c r="D39" s="39"/>
      <c r="E39" s="12"/>
      <c r="F39" s="48"/>
      <c r="G39" s="39"/>
      <c r="H39" s="39"/>
      <c r="I39" s="39"/>
      <c r="J39" s="12"/>
      <c r="K39" s="48"/>
      <c r="L39" s="39"/>
      <c r="M39" s="39"/>
      <c r="N39" s="39"/>
      <c r="O39" s="12"/>
      <c r="P39" s="48"/>
      <c r="Q39" s="39"/>
      <c r="R39" s="39"/>
      <c r="S39" s="39"/>
      <c r="T39" s="12"/>
      <c r="U39" s="48"/>
      <c r="V39" s="39"/>
      <c r="W39" s="39"/>
      <c r="X39" s="39"/>
      <c r="Y39" s="13"/>
      <c r="Z39" s="48"/>
      <c r="AA39" s="30"/>
      <c r="AB39" s="30"/>
      <c r="AC39" s="30"/>
      <c r="AD39" s="13"/>
      <c r="AE39" s="188"/>
      <c r="AF39" s="30"/>
      <c r="AG39" s="30"/>
      <c r="AH39" s="30"/>
      <c r="AI39" s="13"/>
      <c r="AJ39" s="188"/>
      <c r="AK39" s="234"/>
      <c r="AL39" s="235"/>
      <c r="AM39" s="236"/>
      <c r="AN39" s="236"/>
      <c r="AO39" s="237"/>
      <c r="AP39" s="48"/>
      <c r="AQ39" s="39"/>
      <c r="AR39" s="39"/>
      <c r="AS39" s="39"/>
      <c r="AT39" s="12"/>
      <c r="AU39" s="48"/>
      <c r="AV39" s="39"/>
      <c r="AW39" s="39"/>
      <c r="AX39" s="39"/>
      <c r="AY39" s="12"/>
      <c r="AZ39" s="48"/>
      <c r="BA39" s="39"/>
      <c r="BB39" s="39"/>
      <c r="BC39" s="39"/>
      <c r="BD39" s="12"/>
    </row>
    <row r="40" spans="1:47" ht="12.75">
      <c r="A40" s="223" t="s">
        <v>79</v>
      </c>
      <c r="B40" s="238"/>
      <c r="C40" s="238"/>
      <c r="D40" s="238"/>
      <c r="E40" s="239"/>
      <c r="F40" s="225" t="s">
        <v>64</v>
      </c>
      <c r="G40" s="238"/>
      <c r="H40" s="238"/>
      <c r="I40" s="238"/>
      <c r="J40" s="239"/>
      <c r="K40" s="225" t="s">
        <v>59</v>
      </c>
      <c r="L40" s="223"/>
      <c r="M40" s="223"/>
      <c r="N40" s="223"/>
      <c r="O40" s="224"/>
      <c r="P40" s="225" t="s">
        <v>48</v>
      </c>
      <c r="Q40" s="223"/>
      <c r="R40" s="223"/>
      <c r="S40" s="223"/>
      <c r="T40" s="224"/>
      <c r="U40" s="16"/>
      <c r="Y40" s="4"/>
      <c r="AE40" s="56"/>
      <c r="AJ40" s="81"/>
      <c r="AK40" s="82"/>
      <c r="AL40" s="82"/>
      <c r="AM40" s="82"/>
      <c r="AN40" s="32"/>
      <c r="AT40" s="11"/>
      <c r="AU40" s="16"/>
    </row>
    <row r="41" spans="1:47" ht="25.5">
      <c r="A41" s="36"/>
      <c r="B41" s="2" t="s">
        <v>13</v>
      </c>
      <c r="C41" s="2" t="s">
        <v>14</v>
      </c>
      <c r="D41" s="2" t="s">
        <v>42</v>
      </c>
      <c r="E41" s="3" t="s">
        <v>23</v>
      </c>
      <c r="F41" s="36"/>
      <c r="G41" s="2" t="s">
        <v>13</v>
      </c>
      <c r="H41" s="2" t="s">
        <v>14</v>
      </c>
      <c r="I41" s="2" t="s">
        <v>42</v>
      </c>
      <c r="J41" s="3" t="s">
        <v>23</v>
      </c>
      <c r="K41" s="36"/>
      <c r="L41" s="2" t="s">
        <v>13</v>
      </c>
      <c r="M41" s="2" t="s">
        <v>14</v>
      </c>
      <c r="N41" s="2" t="s">
        <v>42</v>
      </c>
      <c r="O41" s="3" t="s">
        <v>23</v>
      </c>
      <c r="P41" s="36"/>
      <c r="Q41" s="2" t="s">
        <v>13</v>
      </c>
      <c r="R41" s="2" t="s">
        <v>14</v>
      </c>
      <c r="S41" s="2" t="s">
        <v>42</v>
      </c>
      <c r="T41" s="3" t="s">
        <v>23</v>
      </c>
      <c r="U41" s="16"/>
      <c r="Y41" s="4"/>
      <c r="AE41" s="57"/>
      <c r="AT41" s="11"/>
      <c r="AU41" s="16"/>
    </row>
    <row r="42" spans="5:46" ht="12.75">
      <c r="E42" s="60"/>
      <c r="J42" s="60"/>
      <c r="Q42" s="16"/>
      <c r="R42" s="16"/>
      <c r="S42" s="16"/>
      <c r="T42" s="11"/>
      <c r="U42" s="16"/>
      <c r="Y42" s="4"/>
      <c r="AE42" s="16"/>
      <c r="AT42" s="11"/>
    </row>
    <row r="43" spans="1:46" ht="12.75">
      <c r="A43" s="133">
        <v>41246</v>
      </c>
      <c r="B43" s="120">
        <v>78161.96</v>
      </c>
      <c r="C43" s="120">
        <v>507235.98</v>
      </c>
      <c r="D43" s="120">
        <v>7717137.28</v>
      </c>
      <c r="E43" s="61">
        <v>0.0657</v>
      </c>
      <c r="F43" t="s">
        <v>65</v>
      </c>
      <c r="G43" s="120">
        <v>12858.69</v>
      </c>
      <c r="H43" s="120">
        <v>296978.26</v>
      </c>
      <c r="I43" s="120">
        <v>6919246.31</v>
      </c>
      <c r="J43" s="61">
        <v>0.0429</v>
      </c>
      <c r="K43" s="35">
        <v>40513</v>
      </c>
      <c r="L43" s="120">
        <v>9522.94</v>
      </c>
      <c r="M43" s="120">
        <v>219188.21</v>
      </c>
      <c r="N43" s="120">
        <v>5788484.58</v>
      </c>
      <c r="O43" s="61">
        <v>0.0379</v>
      </c>
      <c r="P43" t="s">
        <v>45</v>
      </c>
      <c r="Q43" s="75">
        <v>205974.17</v>
      </c>
      <c r="R43" s="75">
        <v>855295.27</v>
      </c>
      <c r="S43" s="76">
        <v>5647378.93</v>
      </c>
      <c r="T43" s="61">
        <v>0.1514</v>
      </c>
      <c r="U43" s="16"/>
      <c r="Y43" s="4"/>
      <c r="AE43" s="32"/>
      <c r="AT43" s="11"/>
    </row>
    <row r="44" spans="1:46" ht="12.75">
      <c r="A44" s="133">
        <v>41247</v>
      </c>
      <c r="B44" s="120">
        <v>35807.33</v>
      </c>
      <c r="C44" s="120">
        <v>543043.31</v>
      </c>
      <c r="D44" s="120">
        <v>7717137.28</v>
      </c>
      <c r="E44" s="61">
        <v>0.0704</v>
      </c>
      <c r="F44" s="133">
        <v>40883</v>
      </c>
      <c r="G44" s="120">
        <v>19082.5</v>
      </c>
      <c r="H44" s="120">
        <v>316060.87</v>
      </c>
      <c r="I44" s="120">
        <v>6919246.31</v>
      </c>
      <c r="J44" s="61">
        <v>0.0457</v>
      </c>
      <c r="K44" s="35">
        <v>40514</v>
      </c>
      <c r="L44" s="120">
        <v>23761.35</v>
      </c>
      <c r="M44" s="120">
        <v>242949.56</v>
      </c>
      <c r="N44" s="120">
        <v>5788484.58</v>
      </c>
      <c r="O44" s="61">
        <v>0.042</v>
      </c>
      <c r="P44" s="65">
        <v>40163</v>
      </c>
      <c r="Q44" s="75">
        <v>16192.75</v>
      </c>
      <c r="R44" s="75">
        <v>871488.02</v>
      </c>
      <c r="S44" s="76">
        <v>5647378.93</v>
      </c>
      <c r="T44" s="61">
        <v>0.1543</v>
      </c>
      <c r="U44" s="16"/>
      <c r="Y44" s="4"/>
      <c r="AE44" s="32"/>
      <c r="AT44" s="11"/>
    </row>
    <row r="45" spans="1:46" ht="12.75">
      <c r="A45" s="133">
        <v>41248</v>
      </c>
      <c r="B45" s="120">
        <v>45362.1</v>
      </c>
      <c r="C45" s="120">
        <v>588405.46</v>
      </c>
      <c r="D45" s="120">
        <v>7717137.28</v>
      </c>
      <c r="E45" s="61">
        <v>0.0762</v>
      </c>
      <c r="F45" s="133">
        <v>40884</v>
      </c>
      <c r="G45" s="120">
        <v>20141.73</v>
      </c>
      <c r="H45" s="120">
        <v>336202.6</v>
      </c>
      <c r="I45" s="120">
        <v>6919246.31</v>
      </c>
      <c r="J45" s="61">
        <v>0.0486</v>
      </c>
      <c r="K45" s="35">
        <v>40515</v>
      </c>
      <c r="L45" s="120">
        <v>4448.45</v>
      </c>
      <c r="M45" s="120">
        <v>247397.85</v>
      </c>
      <c r="N45" s="120">
        <v>5788484.58</v>
      </c>
      <c r="O45" s="61">
        <v>0.0427</v>
      </c>
      <c r="P45" s="65">
        <v>40164</v>
      </c>
      <c r="Q45" s="75">
        <v>9266.58</v>
      </c>
      <c r="R45" s="75">
        <v>880754.6</v>
      </c>
      <c r="S45" s="76">
        <v>5647378.93</v>
      </c>
      <c r="T45" s="61">
        <v>0.156</v>
      </c>
      <c r="U45" s="16"/>
      <c r="Y45" s="4"/>
      <c r="AE45" s="58"/>
      <c r="AT45" s="11"/>
    </row>
    <row r="46" spans="1:46" ht="12.75">
      <c r="A46" s="133">
        <v>41249</v>
      </c>
      <c r="B46" s="120">
        <v>6748.5</v>
      </c>
      <c r="C46" s="120">
        <v>595153.96</v>
      </c>
      <c r="D46" s="120">
        <v>7717137.28</v>
      </c>
      <c r="E46" s="61">
        <v>0.0771</v>
      </c>
      <c r="F46" s="133">
        <v>40885</v>
      </c>
      <c r="G46" s="120">
        <v>36613.37</v>
      </c>
      <c r="H46" s="120">
        <v>372815.97</v>
      </c>
      <c r="I46" s="120">
        <v>6919246.31</v>
      </c>
      <c r="J46" s="61">
        <v>0.0539</v>
      </c>
      <c r="K46" s="35">
        <v>40518</v>
      </c>
      <c r="L46" s="120">
        <v>8628.99</v>
      </c>
      <c r="M46" s="120">
        <f>M45+L46</f>
        <v>256026.84</v>
      </c>
      <c r="N46" s="120">
        <v>5788484.58</v>
      </c>
      <c r="O46" s="61">
        <v>0.0442</v>
      </c>
      <c r="P46" s="65">
        <v>40165</v>
      </c>
      <c r="Q46" s="75">
        <v>10775.19</v>
      </c>
      <c r="R46" s="75">
        <v>891529.79</v>
      </c>
      <c r="S46" s="76">
        <v>5647378.93</v>
      </c>
      <c r="T46" s="61">
        <v>0.1579</v>
      </c>
      <c r="U46" s="16"/>
      <c r="Y46" s="4"/>
      <c r="AE46" s="32"/>
      <c r="AT46" s="11"/>
    </row>
    <row r="47" spans="1:46" ht="12.75">
      <c r="A47" s="133">
        <v>41250</v>
      </c>
      <c r="B47" s="120">
        <v>10925.17</v>
      </c>
      <c r="C47" s="120">
        <v>606079.13</v>
      </c>
      <c r="D47" s="120">
        <v>7717137.28</v>
      </c>
      <c r="E47" s="61">
        <v>0.0785</v>
      </c>
      <c r="F47" s="133">
        <v>40886</v>
      </c>
      <c r="G47" s="120">
        <v>7355.71</v>
      </c>
      <c r="H47" s="120">
        <v>380171.68</v>
      </c>
      <c r="I47" s="120">
        <v>6919246.31</v>
      </c>
      <c r="J47" s="61">
        <v>0.0549</v>
      </c>
      <c r="K47" s="35">
        <v>40519</v>
      </c>
      <c r="L47" s="120">
        <v>15576.09</v>
      </c>
      <c r="M47" s="120">
        <f>M46+L47</f>
        <v>271602.93</v>
      </c>
      <c r="N47" s="120">
        <v>5788484.58</v>
      </c>
      <c r="O47" s="61">
        <v>0.0469</v>
      </c>
      <c r="P47" s="65">
        <v>40168</v>
      </c>
      <c r="Q47" s="75">
        <v>1071155.32</v>
      </c>
      <c r="R47" s="75">
        <v>1962685.11</v>
      </c>
      <c r="S47" s="75">
        <v>5645545.44</v>
      </c>
      <c r="T47" s="61">
        <v>0.3477</v>
      </c>
      <c r="U47" s="16"/>
      <c r="Y47" s="4"/>
      <c r="AE47" s="32"/>
      <c r="AT47" s="11"/>
    </row>
    <row r="48" spans="1:31" ht="12.75">
      <c r="A48" s="133">
        <v>41253</v>
      </c>
      <c r="B48" s="120">
        <v>20939.23</v>
      </c>
      <c r="C48" s="120">
        <v>627018.36</v>
      </c>
      <c r="D48" s="120">
        <v>7717137.28</v>
      </c>
      <c r="E48" s="61">
        <v>0.0813</v>
      </c>
      <c r="F48" s="133">
        <v>40889</v>
      </c>
      <c r="G48" s="120">
        <v>16146.09</v>
      </c>
      <c r="H48" s="120">
        <f>H47+G48</f>
        <v>396317.77</v>
      </c>
      <c r="I48" s="120">
        <v>6919246.31</v>
      </c>
      <c r="J48" s="61">
        <v>0.0573</v>
      </c>
      <c r="K48" s="35">
        <v>40520</v>
      </c>
      <c r="L48" s="120">
        <v>26513.94</v>
      </c>
      <c r="M48" s="120">
        <f>M47+L48</f>
        <v>298116.87</v>
      </c>
      <c r="N48" s="120">
        <v>5788484.58</v>
      </c>
      <c r="O48" s="61">
        <v>0.0515</v>
      </c>
      <c r="P48" s="65">
        <v>40169</v>
      </c>
      <c r="Q48" s="75">
        <v>20710.31</v>
      </c>
      <c r="R48" s="75">
        <v>1983394.57</v>
      </c>
      <c r="S48" s="75">
        <v>5645545.44</v>
      </c>
      <c r="T48" s="61">
        <v>0.3513</v>
      </c>
      <c r="U48" s="16"/>
      <c r="Y48" s="4"/>
      <c r="AE48" s="32"/>
    </row>
    <row r="49" spans="1:31" ht="12.75">
      <c r="A49" s="133">
        <v>41254</v>
      </c>
      <c r="B49" s="120">
        <v>1161377.2</v>
      </c>
      <c r="C49" s="120">
        <v>1788395.56</v>
      </c>
      <c r="D49" s="120">
        <v>7717137.28</v>
      </c>
      <c r="E49" s="61">
        <v>0.2317</v>
      </c>
      <c r="F49" s="133">
        <v>40890</v>
      </c>
      <c r="G49" s="120">
        <v>42439.78</v>
      </c>
      <c r="H49" s="120">
        <f>H48+G49</f>
        <v>438757.55000000005</v>
      </c>
      <c r="I49" s="120">
        <v>6919246.31</v>
      </c>
      <c r="J49" s="61">
        <v>0.0634</v>
      </c>
      <c r="K49" s="35">
        <v>40521</v>
      </c>
      <c r="L49" s="120">
        <v>15200.95</v>
      </c>
      <c r="M49" s="120">
        <v>313317.82</v>
      </c>
      <c r="N49" s="120">
        <v>5788484.58</v>
      </c>
      <c r="O49" s="61">
        <v>0.0541</v>
      </c>
      <c r="P49" s="65">
        <v>40175</v>
      </c>
      <c r="Q49" s="75">
        <v>82225.18</v>
      </c>
      <c r="R49" s="75">
        <v>2065620.75</v>
      </c>
      <c r="S49" s="75">
        <v>5645545.44</v>
      </c>
      <c r="T49" s="61">
        <v>0.3659</v>
      </c>
      <c r="U49" s="16"/>
      <c r="Y49" s="4"/>
      <c r="AE49" s="32"/>
    </row>
    <row r="50" spans="1:31" ht="12.75">
      <c r="A50" s="133">
        <v>41255</v>
      </c>
      <c r="B50" s="120">
        <v>20112.21</v>
      </c>
      <c r="C50" s="120">
        <v>1808507.75</v>
      </c>
      <c r="D50" s="120">
        <v>7717137.28</v>
      </c>
      <c r="E50" s="61">
        <v>0.2343</v>
      </c>
      <c r="F50" s="133">
        <v>40891</v>
      </c>
      <c r="G50" s="120">
        <v>5743.08</v>
      </c>
      <c r="H50" s="120">
        <f>H49+G50</f>
        <v>444500.63000000006</v>
      </c>
      <c r="I50" s="120">
        <v>6919246.31</v>
      </c>
      <c r="J50" s="61">
        <v>0.0642</v>
      </c>
      <c r="K50" s="35">
        <v>40522</v>
      </c>
      <c r="L50" s="120">
        <v>16773.27</v>
      </c>
      <c r="M50" s="120">
        <v>330091.09</v>
      </c>
      <c r="N50" s="120">
        <v>5788484.58</v>
      </c>
      <c r="O50" s="61">
        <v>0.057</v>
      </c>
      <c r="P50" s="65">
        <v>40176</v>
      </c>
      <c r="Q50" s="75">
        <v>1080432.45</v>
      </c>
      <c r="R50" s="75">
        <v>3146053.09</v>
      </c>
      <c r="S50" s="75">
        <v>5645545.44</v>
      </c>
      <c r="T50" s="61">
        <v>0.5573</v>
      </c>
      <c r="U50" s="16"/>
      <c r="Y50" s="4"/>
      <c r="AE50" s="32"/>
    </row>
    <row r="51" spans="1:31" ht="12.75">
      <c r="A51" s="133">
        <v>41256</v>
      </c>
      <c r="B51" s="120">
        <v>11582.35</v>
      </c>
      <c r="C51" s="120">
        <v>1820090.1</v>
      </c>
      <c r="D51" s="120">
        <v>7717137.28</v>
      </c>
      <c r="E51" s="61">
        <v>0.2359</v>
      </c>
      <c r="F51" s="133">
        <v>40892</v>
      </c>
      <c r="G51" s="120">
        <v>21805.29</v>
      </c>
      <c r="H51" s="120">
        <f>H50+G51</f>
        <v>466305.92000000004</v>
      </c>
      <c r="I51" s="120">
        <v>6919246.31</v>
      </c>
      <c r="J51" s="61">
        <v>0.0674</v>
      </c>
      <c r="K51" s="35">
        <v>40525</v>
      </c>
      <c r="L51" s="120">
        <v>30756.15</v>
      </c>
      <c r="M51" s="120">
        <v>360846.34</v>
      </c>
      <c r="N51" s="120">
        <v>5788484.58</v>
      </c>
      <c r="O51" s="61">
        <v>0.0623</v>
      </c>
      <c r="P51" s="65">
        <v>40177</v>
      </c>
      <c r="Q51" s="75">
        <v>72874.16</v>
      </c>
      <c r="R51" s="75">
        <v>3218927.25</v>
      </c>
      <c r="S51" s="75">
        <v>5645545.44</v>
      </c>
      <c r="T51" s="61">
        <v>0.5702</v>
      </c>
      <c r="U51" s="16"/>
      <c r="Y51" s="4"/>
      <c r="AE51" s="32"/>
    </row>
    <row r="52" spans="1:31" ht="12.75">
      <c r="A52" s="133">
        <v>41257</v>
      </c>
      <c r="B52" s="120">
        <v>33230.64</v>
      </c>
      <c r="C52" s="120">
        <v>1853320.74</v>
      </c>
      <c r="D52" s="120">
        <v>7717137.28</v>
      </c>
      <c r="E52" s="61">
        <v>0.2402</v>
      </c>
      <c r="F52" s="133">
        <v>40893</v>
      </c>
      <c r="G52" s="120">
        <v>16792.45</v>
      </c>
      <c r="H52" s="120">
        <f>H51+G52</f>
        <v>483098.37000000005</v>
      </c>
      <c r="I52" s="120">
        <v>6919246.31</v>
      </c>
      <c r="J52" s="61">
        <v>0.0698</v>
      </c>
      <c r="K52" s="35">
        <v>40526</v>
      </c>
      <c r="L52" s="120">
        <v>13556.65</v>
      </c>
      <c r="M52" s="120">
        <v>374402.82</v>
      </c>
      <c r="N52" s="120">
        <v>5788484.58</v>
      </c>
      <c r="O52" s="61">
        <v>0.0647</v>
      </c>
      <c r="P52" s="65">
        <v>40178</v>
      </c>
      <c r="Q52" s="75">
        <v>913772.86</v>
      </c>
      <c r="R52" s="75">
        <v>4132700.11</v>
      </c>
      <c r="S52" s="75">
        <v>5645545.44</v>
      </c>
      <c r="T52" s="61">
        <v>0.732</v>
      </c>
      <c r="U52" s="16"/>
      <c r="Y52" s="4"/>
      <c r="AE52" s="32"/>
    </row>
    <row r="53" spans="1:31" ht="12.75">
      <c r="A53" s="133">
        <v>41260</v>
      </c>
      <c r="B53" s="120">
        <v>22569.8</v>
      </c>
      <c r="C53" s="120">
        <v>1875890.54</v>
      </c>
      <c r="D53" s="120">
        <v>7717137.28</v>
      </c>
      <c r="E53" s="61">
        <v>0.2431</v>
      </c>
      <c r="F53" s="133">
        <v>40896</v>
      </c>
      <c r="G53" s="120">
        <v>133689.06</v>
      </c>
      <c r="H53" s="120">
        <f>H52+G53+0.17</f>
        <v>616787.6000000001</v>
      </c>
      <c r="I53" s="120">
        <v>6919246.31</v>
      </c>
      <c r="J53" s="61">
        <v>0.0891</v>
      </c>
      <c r="K53" s="35">
        <v>40527</v>
      </c>
      <c r="L53" s="120">
        <v>16891.58</v>
      </c>
      <c r="M53" s="120">
        <v>391294.4</v>
      </c>
      <c r="N53" s="120">
        <v>5788484.58</v>
      </c>
      <c r="O53" s="61">
        <v>0.0676</v>
      </c>
      <c r="P53" s="65"/>
      <c r="Q53" s="75"/>
      <c r="R53" s="75"/>
      <c r="S53" s="75"/>
      <c r="T53" s="11"/>
      <c r="U53" s="16"/>
      <c r="Y53" s="4"/>
      <c r="AE53" s="32"/>
    </row>
    <row r="54" spans="1:31" ht="12.75">
      <c r="A54" s="133">
        <v>41261</v>
      </c>
      <c r="B54" s="120">
        <v>81493.36</v>
      </c>
      <c r="C54" s="120">
        <v>1957383.9</v>
      </c>
      <c r="D54" s="120">
        <v>7717137.28</v>
      </c>
      <c r="E54" s="61">
        <v>0.2536</v>
      </c>
      <c r="F54" s="133">
        <v>40897</v>
      </c>
      <c r="G54" s="120">
        <v>1257920.18</v>
      </c>
      <c r="H54" s="120">
        <v>1874707.78</v>
      </c>
      <c r="I54" s="120">
        <v>6917478.11</v>
      </c>
      <c r="J54" s="61">
        <v>0.271</v>
      </c>
      <c r="K54" s="35">
        <v>40528</v>
      </c>
      <c r="L54" s="120">
        <v>14198.46</v>
      </c>
      <c r="M54" s="120">
        <v>405492.86</v>
      </c>
      <c r="N54" s="120">
        <v>5788484.58</v>
      </c>
      <c r="O54" s="61">
        <v>0.0701</v>
      </c>
      <c r="P54" s="65"/>
      <c r="Q54" s="75"/>
      <c r="R54" s="75"/>
      <c r="S54" s="75"/>
      <c r="T54" s="11"/>
      <c r="U54" s="16"/>
      <c r="Y54" s="4"/>
      <c r="AE54" s="32"/>
    </row>
    <row r="55" spans="1:25" ht="12.75">
      <c r="A55" s="133">
        <v>41262</v>
      </c>
      <c r="B55" s="120">
        <v>24608.74</v>
      </c>
      <c r="C55" s="120">
        <v>1981992.64</v>
      </c>
      <c r="D55" s="120">
        <v>7717137.28</v>
      </c>
      <c r="E55" s="61">
        <v>0.2568</v>
      </c>
      <c r="F55" s="133">
        <v>40898</v>
      </c>
      <c r="G55" s="120">
        <v>33044.14</v>
      </c>
      <c r="H55" s="120">
        <v>1907751.92</v>
      </c>
      <c r="I55" s="120">
        <v>6917478.11</v>
      </c>
      <c r="J55" s="61">
        <v>0.2758</v>
      </c>
      <c r="K55" s="35">
        <v>40529</v>
      </c>
      <c r="L55" s="120">
        <v>25986.4</v>
      </c>
      <c r="M55" s="120">
        <v>431479.26</v>
      </c>
      <c r="N55" s="120">
        <v>5788484.58</v>
      </c>
      <c r="O55" s="61">
        <v>0.0745</v>
      </c>
      <c r="Q55" s="16"/>
      <c r="R55" s="16"/>
      <c r="S55" s="16"/>
      <c r="T55" s="11"/>
      <c r="U55" s="16"/>
      <c r="Y55" s="4"/>
    </row>
    <row r="56" spans="1:25" ht="12.75">
      <c r="A56" s="133">
        <v>41263</v>
      </c>
      <c r="B56" s="120">
        <v>62899.29</v>
      </c>
      <c r="C56" s="120">
        <v>2044891.93</v>
      </c>
      <c r="D56" s="120">
        <v>7721116.19</v>
      </c>
      <c r="E56" s="61">
        <v>0.2648</v>
      </c>
      <c r="F56" s="133">
        <v>40904</v>
      </c>
      <c r="G56" s="120">
        <v>106869.3</v>
      </c>
      <c r="H56" s="120">
        <v>2014621.22</v>
      </c>
      <c r="I56" s="120">
        <v>6932310.02</v>
      </c>
      <c r="J56" s="61">
        <v>0.2906</v>
      </c>
      <c r="K56" s="35">
        <v>40532</v>
      </c>
      <c r="L56" s="120">
        <v>68849.9</v>
      </c>
      <c r="M56" s="120">
        <v>500329.16</v>
      </c>
      <c r="N56" s="120">
        <v>5788484.58</v>
      </c>
      <c r="O56" s="61">
        <v>0.0864</v>
      </c>
      <c r="P56" s="6" t="s">
        <v>46</v>
      </c>
      <c r="Q56" s="75">
        <f>SUM(Q43:Q55)</f>
        <v>3483378.97</v>
      </c>
      <c r="R56" s="16"/>
      <c r="S56" s="16"/>
      <c r="T56" s="11"/>
      <c r="U56" s="16"/>
      <c r="Y56" s="4"/>
    </row>
    <row r="57" spans="1:25" ht="12.75">
      <c r="A57" s="133">
        <v>41264</v>
      </c>
      <c r="B57" s="120">
        <v>6102.43</v>
      </c>
      <c r="C57" s="120">
        <v>2050994.36</v>
      </c>
      <c r="D57" s="120">
        <v>7721116.19</v>
      </c>
      <c r="E57" s="61">
        <v>0.2656</v>
      </c>
      <c r="F57" s="133">
        <v>40905</v>
      </c>
      <c r="G57" s="120">
        <v>33742.92</v>
      </c>
      <c r="H57" s="120">
        <v>2048364.16</v>
      </c>
      <c r="I57" s="120">
        <v>6932310.02</v>
      </c>
      <c r="J57" s="61">
        <v>0.2955</v>
      </c>
      <c r="K57" s="35">
        <v>40533</v>
      </c>
      <c r="L57" s="120">
        <v>16074.54</v>
      </c>
      <c r="M57" s="120">
        <v>516403.7</v>
      </c>
      <c r="N57" s="120">
        <v>5785699.82</v>
      </c>
      <c r="O57" s="61">
        <v>0.0893</v>
      </c>
      <c r="P57" s="6" t="s">
        <v>47</v>
      </c>
      <c r="Q57" s="59">
        <f>Q5+Q6</f>
        <v>649321.6499999999</v>
      </c>
      <c r="R57" s="16"/>
      <c r="S57" s="16"/>
      <c r="T57" s="11"/>
      <c r="U57" s="16"/>
      <c r="Y57" s="4"/>
    </row>
    <row r="58" spans="1:25" ht="12.75">
      <c r="A58" s="133">
        <v>41270</v>
      </c>
      <c r="B58" s="120">
        <v>1813518.59</v>
      </c>
      <c r="C58" s="120">
        <v>3864512.95</v>
      </c>
      <c r="D58" s="120">
        <v>7721116.19</v>
      </c>
      <c r="E58" s="61">
        <v>0.5005</v>
      </c>
      <c r="F58" s="133">
        <v>40906</v>
      </c>
      <c r="G58" s="120">
        <v>55979.31</v>
      </c>
      <c r="H58" s="120">
        <v>2104343.47</v>
      </c>
      <c r="I58" s="120">
        <v>6932310.02</v>
      </c>
      <c r="J58" s="61">
        <v>0.3036</v>
      </c>
      <c r="K58" s="35">
        <v>40534</v>
      </c>
      <c r="L58" s="120">
        <v>33725.44</v>
      </c>
      <c r="M58" s="120">
        <v>550129.14</v>
      </c>
      <c r="N58" s="120">
        <v>5785699.82</v>
      </c>
      <c r="O58" s="61">
        <v>0.0951</v>
      </c>
      <c r="P58" s="6" t="s">
        <v>35</v>
      </c>
      <c r="Q58" s="75">
        <f>SUM(Q56:Q57)</f>
        <v>4132700.62</v>
      </c>
      <c r="R58" s="16"/>
      <c r="S58" s="16"/>
      <c r="T58" s="11"/>
      <c r="U58" s="16"/>
      <c r="Y58" s="4"/>
    </row>
    <row r="59" spans="1:25" ht="12.75">
      <c r="A59" s="133">
        <v>41271</v>
      </c>
      <c r="B59" s="120">
        <v>92138.97</v>
      </c>
      <c r="C59" s="120">
        <v>3956651.92</v>
      </c>
      <c r="D59" s="120">
        <v>7721116.19</v>
      </c>
      <c r="E59" s="61">
        <v>0.5124</v>
      </c>
      <c r="F59" s="133">
        <v>40907</v>
      </c>
      <c r="G59" s="120">
        <v>1307557.39</v>
      </c>
      <c r="H59" s="120">
        <v>3411900.69</v>
      </c>
      <c r="I59" s="120">
        <v>6932310.02</v>
      </c>
      <c r="J59" s="61">
        <v>0.4922</v>
      </c>
      <c r="K59" s="35">
        <v>40540</v>
      </c>
      <c r="L59" s="120">
        <v>1408814.41</v>
      </c>
      <c r="M59" s="120">
        <v>1958943.11</v>
      </c>
      <c r="N59" s="120">
        <v>5785699.82</v>
      </c>
      <c r="O59" s="61">
        <v>0.3386</v>
      </c>
      <c r="P59" t="s">
        <v>32</v>
      </c>
      <c r="Q59" s="39">
        <v>-0.51</v>
      </c>
      <c r="R59" s="16"/>
      <c r="S59" s="16"/>
      <c r="T59" s="11"/>
      <c r="U59" s="16"/>
      <c r="Y59" s="4"/>
    </row>
    <row r="60" spans="1:25" ht="12.75">
      <c r="A60" s="133">
        <v>41274</v>
      </c>
      <c r="B60" s="118">
        <v>1423881.67</v>
      </c>
      <c r="C60" s="120">
        <v>5380533.59</v>
      </c>
      <c r="D60" s="120">
        <v>7721116.19</v>
      </c>
      <c r="E60" s="61">
        <v>0.6969</v>
      </c>
      <c r="F60" s="133">
        <v>40908</v>
      </c>
      <c r="G60" s="118">
        <v>27700.66</v>
      </c>
      <c r="H60" s="120">
        <v>3439601.35</v>
      </c>
      <c r="I60" s="120">
        <v>6932310.02</v>
      </c>
      <c r="J60" s="61">
        <v>0.4962</v>
      </c>
      <c r="K60" s="35">
        <v>40541</v>
      </c>
      <c r="L60" s="120">
        <v>1137039.33</v>
      </c>
      <c r="M60" s="120">
        <f>M59+L60</f>
        <v>3095982.4400000004</v>
      </c>
      <c r="N60" s="120">
        <v>5785699.82</v>
      </c>
      <c r="O60" s="61">
        <v>0.5351</v>
      </c>
      <c r="P60" s="68" t="s">
        <v>36</v>
      </c>
      <c r="Q60" s="75">
        <f>SUM(Q58:Q59)</f>
        <v>4132700.1100000003</v>
      </c>
      <c r="R60" s="16"/>
      <c r="S60" s="16"/>
      <c r="T60" s="11"/>
      <c r="U60" s="16"/>
      <c r="Y60" s="4"/>
    </row>
    <row r="61" spans="2:31" ht="12.75">
      <c r="B61" s="120">
        <f>SUM(B43:B60)</f>
        <v>4951459.540000001</v>
      </c>
      <c r="C61" s="120"/>
      <c r="D61" s="120"/>
      <c r="E61" s="157"/>
      <c r="F61" s="133"/>
      <c r="G61" s="120">
        <f>SUM(G43:G60)</f>
        <v>3155481.65</v>
      </c>
      <c r="H61" s="120"/>
      <c r="I61" s="120"/>
      <c r="J61" s="11"/>
      <c r="K61" s="35">
        <v>40542</v>
      </c>
      <c r="L61" s="120">
        <v>39047.34</v>
      </c>
      <c r="M61" s="120">
        <v>3135029.78</v>
      </c>
      <c r="N61" s="120">
        <v>5785699.82</v>
      </c>
      <c r="O61" s="61">
        <v>0.5419</v>
      </c>
      <c r="Q61" s="16"/>
      <c r="R61" s="16"/>
      <c r="S61" s="16"/>
      <c r="T61" s="11"/>
      <c r="U61" s="16"/>
      <c r="Y61" s="4"/>
      <c r="AE61" s="32"/>
    </row>
    <row r="62" spans="2:25" ht="12.75">
      <c r="B62" s="120"/>
      <c r="C62" s="120"/>
      <c r="D62" s="120"/>
      <c r="E62" s="157"/>
      <c r="G62" s="120"/>
      <c r="H62" s="120"/>
      <c r="I62" s="120"/>
      <c r="J62" s="11"/>
      <c r="K62" s="35">
        <v>40543</v>
      </c>
      <c r="L62" s="118">
        <v>1093066.67</v>
      </c>
      <c r="M62" s="120">
        <v>4228096.45</v>
      </c>
      <c r="N62" s="120">
        <v>5785699.82</v>
      </c>
      <c r="O62" s="61">
        <v>0.7308</v>
      </c>
      <c r="Q62" s="16"/>
      <c r="R62" s="16"/>
      <c r="S62" s="16"/>
      <c r="T62" s="11"/>
      <c r="U62" s="16"/>
      <c r="Y62" s="4"/>
    </row>
    <row r="63" spans="2:25" ht="12.75">
      <c r="B63" s="120"/>
      <c r="C63" s="120"/>
      <c r="D63" s="120"/>
      <c r="E63" s="157"/>
      <c r="G63" s="120"/>
      <c r="H63" s="120"/>
      <c r="I63" s="120"/>
      <c r="J63" s="11"/>
      <c r="K63" s="35"/>
      <c r="L63" s="120"/>
      <c r="M63" s="120"/>
      <c r="N63" s="120"/>
      <c r="Q63" s="16"/>
      <c r="R63" s="16"/>
      <c r="S63" s="16"/>
      <c r="T63" s="11"/>
      <c r="U63" s="16"/>
      <c r="Y63" s="4"/>
    </row>
    <row r="64" spans="2:25" ht="12.75">
      <c r="B64" s="120"/>
      <c r="C64" s="120"/>
      <c r="D64" s="120"/>
      <c r="E64" s="157"/>
      <c r="G64" s="120"/>
      <c r="H64" s="120"/>
      <c r="I64" s="120"/>
      <c r="J64" s="11"/>
      <c r="K64" s="35" t="s">
        <v>60</v>
      </c>
      <c r="L64" s="120">
        <f>SUM(L43:L63)</f>
        <v>4018432.8499999996</v>
      </c>
      <c r="M64" s="120"/>
      <c r="N64" s="120"/>
      <c r="Q64" s="16"/>
      <c r="R64" s="16"/>
      <c r="S64" s="16"/>
      <c r="T64" s="11"/>
      <c r="U64" s="16"/>
      <c r="Y64" s="4"/>
    </row>
    <row r="65" spans="2:25" ht="12.75">
      <c r="B65" s="120"/>
      <c r="C65" s="120"/>
      <c r="D65" s="120"/>
      <c r="E65" s="154"/>
      <c r="G65" s="120"/>
      <c r="H65" s="120"/>
      <c r="I65" s="120"/>
      <c r="J65" s="11"/>
      <c r="K65" s="35" t="s">
        <v>47</v>
      </c>
      <c r="L65" s="118">
        <f>L5+L6</f>
        <v>209665.49</v>
      </c>
      <c r="M65" s="120"/>
      <c r="N65" s="120"/>
      <c r="Q65" s="16"/>
      <c r="R65" s="16"/>
      <c r="S65" s="16"/>
      <c r="T65" s="11"/>
      <c r="U65" s="16"/>
      <c r="Y65" s="4"/>
    </row>
    <row r="66" spans="2:25" ht="12.75">
      <c r="B66" s="120"/>
      <c r="C66" s="120"/>
      <c r="D66" s="120"/>
      <c r="E66" s="154"/>
      <c r="G66" s="120"/>
      <c r="H66" s="120"/>
      <c r="I66" s="120"/>
      <c r="J66" s="11"/>
      <c r="K66" s="35" t="s">
        <v>35</v>
      </c>
      <c r="L66" s="120">
        <f>SUM(L64:L65)</f>
        <v>4228098.34</v>
      </c>
      <c r="M66" s="120"/>
      <c r="N66" s="120"/>
      <c r="Q66" s="16"/>
      <c r="R66" s="16"/>
      <c r="S66" s="16"/>
      <c r="T66" s="11"/>
      <c r="U66" s="16"/>
      <c r="Y66" s="4"/>
    </row>
    <row r="67" spans="2:25" ht="12.75">
      <c r="B67" s="120"/>
      <c r="C67" s="120"/>
      <c r="D67" s="120"/>
      <c r="E67" s="154"/>
      <c r="G67" s="120"/>
      <c r="H67" s="120"/>
      <c r="I67" s="120"/>
      <c r="J67" s="11"/>
      <c r="K67" s="35" t="s">
        <v>32</v>
      </c>
      <c r="L67" s="118">
        <f>L17</f>
        <v>-2</v>
      </c>
      <c r="M67" s="120"/>
      <c r="N67" s="120"/>
      <c r="Q67" s="16"/>
      <c r="R67" s="16"/>
      <c r="S67" s="16"/>
      <c r="T67" s="11"/>
      <c r="U67" s="16"/>
      <c r="Y67" s="4"/>
    </row>
    <row r="68" spans="2:25" ht="12.75">
      <c r="B68" s="120"/>
      <c r="C68" s="120"/>
      <c r="D68" s="120"/>
      <c r="E68" s="154"/>
      <c r="G68" s="120"/>
      <c r="H68" s="120"/>
      <c r="I68" s="120"/>
      <c r="J68" s="11"/>
      <c r="K68" s="35" t="s">
        <v>36</v>
      </c>
      <c r="L68" s="120">
        <f>SUM(L66:L67)</f>
        <v>4228096.34</v>
      </c>
      <c r="M68" s="120"/>
      <c r="N68" s="120"/>
      <c r="O68" s="16"/>
      <c r="P68" s="72"/>
      <c r="Q68" s="16"/>
      <c r="R68" s="16"/>
      <c r="S68" s="16"/>
      <c r="T68" s="11"/>
      <c r="U68" s="16"/>
      <c r="Y68" s="13"/>
    </row>
    <row r="69" spans="5:25" ht="12.75">
      <c r="E69" s="11"/>
      <c r="G69" s="120"/>
      <c r="H69" s="120"/>
      <c r="I69" s="120"/>
      <c r="J69" s="12"/>
      <c r="K69" s="35"/>
      <c r="L69" s="120"/>
      <c r="M69" s="120"/>
      <c r="N69" s="120"/>
      <c r="P69" s="39"/>
      <c r="Q69" s="39"/>
      <c r="R69" s="39"/>
      <c r="S69" s="39"/>
      <c r="T69" s="12"/>
      <c r="U69" s="39"/>
      <c r="Y69" s="13"/>
    </row>
    <row r="70" spans="1:30" ht="12.75">
      <c r="A70" s="223" t="s">
        <v>89</v>
      </c>
      <c r="B70" s="223"/>
      <c r="C70" s="223"/>
      <c r="D70" s="223"/>
      <c r="E70" s="224"/>
      <c r="F70" s="225" t="s">
        <v>67</v>
      </c>
      <c r="G70" s="223"/>
      <c r="H70" s="223"/>
      <c r="I70" s="223"/>
      <c r="J70" s="224"/>
      <c r="K70" s="225" t="s">
        <v>61</v>
      </c>
      <c r="L70" s="223"/>
      <c r="M70" s="223"/>
      <c r="N70" s="223"/>
      <c r="O70" s="224"/>
      <c r="P70" s="225" t="s">
        <v>49</v>
      </c>
      <c r="Q70" s="223"/>
      <c r="R70" s="223"/>
      <c r="S70" s="223"/>
      <c r="T70" s="224"/>
      <c r="U70" s="225" t="s">
        <v>29</v>
      </c>
      <c r="V70" s="223"/>
      <c r="W70" s="223"/>
      <c r="X70" s="223"/>
      <c r="Y70" s="224"/>
      <c r="Z70" s="225" t="s">
        <v>25</v>
      </c>
      <c r="AA70" s="223"/>
      <c r="AB70" s="223"/>
      <c r="AC70" s="223"/>
      <c r="AD70" s="224"/>
    </row>
    <row r="71" spans="1:30" ht="25.5">
      <c r="A71" s="36"/>
      <c r="B71" s="2" t="s">
        <v>13</v>
      </c>
      <c r="C71" s="2" t="s">
        <v>14</v>
      </c>
      <c r="D71" s="2" t="s">
        <v>42</v>
      </c>
      <c r="E71" s="3" t="s">
        <v>23</v>
      </c>
      <c r="F71" s="36"/>
      <c r="G71" s="2" t="s">
        <v>13</v>
      </c>
      <c r="H71" s="2" t="s">
        <v>14</v>
      </c>
      <c r="I71" s="2" t="s">
        <v>42</v>
      </c>
      <c r="J71" s="3" t="s">
        <v>23</v>
      </c>
      <c r="K71" s="36"/>
      <c r="L71" s="2" t="s">
        <v>13</v>
      </c>
      <c r="M71" s="2" t="s">
        <v>14</v>
      </c>
      <c r="N71" s="2" t="s">
        <v>42</v>
      </c>
      <c r="O71" s="3" t="s">
        <v>23</v>
      </c>
      <c r="P71" s="36"/>
      <c r="Q71" s="2" t="s">
        <v>13</v>
      </c>
      <c r="R71" s="2" t="s">
        <v>14</v>
      </c>
      <c r="S71" s="2" t="s">
        <v>42</v>
      </c>
      <c r="T71" s="3" t="s">
        <v>23</v>
      </c>
      <c r="U71" s="77"/>
      <c r="V71" s="2" t="s">
        <v>13</v>
      </c>
      <c r="W71" s="2" t="s">
        <v>14</v>
      </c>
      <c r="X71" s="2" t="s">
        <v>42</v>
      </c>
      <c r="Y71" s="3" t="s">
        <v>23</v>
      </c>
      <c r="Z71" s="14"/>
      <c r="AA71" s="2" t="s">
        <v>13</v>
      </c>
      <c r="AB71" s="2" t="s">
        <v>14</v>
      </c>
      <c r="AC71" s="2" t="s">
        <v>15</v>
      </c>
      <c r="AD71" s="3" t="s">
        <v>23</v>
      </c>
    </row>
    <row r="72" spans="5:30" ht="12.75">
      <c r="E72" s="11"/>
      <c r="G72" s="120"/>
      <c r="H72" s="120"/>
      <c r="I72" s="120"/>
      <c r="J72" s="60"/>
      <c r="K72" s="66"/>
      <c r="P72" s="66"/>
      <c r="T72" s="11"/>
      <c r="U72" s="72"/>
      <c r="Z72" s="15"/>
      <c r="AA72" s="16"/>
      <c r="AB72" s="16"/>
      <c r="AC72" s="16"/>
      <c r="AD72" s="11"/>
    </row>
    <row r="73" spans="1:30" ht="12.75">
      <c r="A73" s="133">
        <v>41276</v>
      </c>
      <c r="B73" s="120">
        <v>88961.05</v>
      </c>
      <c r="C73" s="120">
        <v>5469494.7</v>
      </c>
      <c r="D73" s="120">
        <v>7721116.19</v>
      </c>
      <c r="E73" s="61">
        <v>0.7084</v>
      </c>
      <c r="F73" s="134">
        <v>40912</v>
      </c>
      <c r="G73" s="120">
        <v>33541.28</v>
      </c>
      <c r="H73" s="120">
        <v>3473142.63</v>
      </c>
      <c r="I73" s="120">
        <v>6932310.02</v>
      </c>
      <c r="J73" s="61">
        <v>0.501</v>
      </c>
      <c r="K73" s="65">
        <v>40547</v>
      </c>
      <c r="L73" s="120">
        <v>21275.9</v>
      </c>
      <c r="M73" s="120">
        <v>4249372.35</v>
      </c>
      <c r="N73" s="120">
        <v>5785699.82</v>
      </c>
      <c r="O73" s="61">
        <v>0.7345</v>
      </c>
      <c r="P73" s="65">
        <v>40182</v>
      </c>
      <c r="Q73" s="49">
        <v>29159.84</v>
      </c>
      <c r="R73" s="49">
        <v>4161859.95</v>
      </c>
      <c r="S73" s="49">
        <v>5645545.44</v>
      </c>
      <c r="T73" s="61">
        <v>0.7372</v>
      </c>
      <c r="U73" s="71" t="s">
        <v>30</v>
      </c>
      <c r="V73" s="34">
        <v>332215.19</v>
      </c>
      <c r="W73" s="33">
        <v>3696038.27</v>
      </c>
      <c r="X73" s="33">
        <v>4705582.19</v>
      </c>
      <c r="Y73" s="37">
        <v>0.7855</v>
      </c>
      <c r="Z73" s="15" t="s">
        <v>26</v>
      </c>
      <c r="AA73" s="17">
        <v>876613.47</v>
      </c>
      <c r="AB73" s="17">
        <v>2363831.44</v>
      </c>
      <c r="AC73" s="17">
        <v>2972113.78</v>
      </c>
      <c r="AD73" s="5">
        <v>0.7953</v>
      </c>
    </row>
    <row r="74" spans="1:30" ht="12.75">
      <c r="A74" s="133">
        <v>41277</v>
      </c>
      <c r="B74" s="120">
        <v>57126.66</v>
      </c>
      <c r="C74" s="120">
        <v>5526621.36</v>
      </c>
      <c r="D74" s="120">
        <v>7721116.19</v>
      </c>
      <c r="E74" s="61">
        <v>0.7158</v>
      </c>
      <c r="F74" s="134">
        <v>40913</v>
      </c>
      <c r="G74" s="120">
        <v>1471406.84</v>
      </c>
      <c r="H74" s="120">
        <v>4944549.47</v>
      </c>
      <c r="I74" s="120">
        <v>6932310.02</v>
      </c>
      <c r="J74" s="61">
        <v>0.7133</v>
      </c>
      <c r="K74" s="65">
        <v>40548</v>
      </c>
      <c r="L74" s="120">
        <v>53701.73</v>
      </c>
      <c r="M74" s="120">
        <v>4303074.08</v>
      </c>
      <c r="N74" s="120">
        <v>5785699.82</v>
      </c>
      <c r="O74" s="61">
        <v>0.7437</v>
      </c>
      <c r="P74" s="65">
        <v>40183</v>
      </c>
      <c r="Q74" s="49">
        <v>47161.92</v>
      </c>
      <c r="R74" s="49">
        <v>4209523.52</v>
      </c>
      <c r="S74" s="49">
        <v>5645545.44</v>
      </c>
      <c r="T74" s="61">
        <v>0.7455</v>
      </c>
      <c r="U74" s="73">
        <v>39829</v>
      </c>
      <c r="V74" s="33">
        <v>10487.78</v>
      </c>
      <c r="W74" s="33">
        <v>3706526.41</v>
      </c>
      <c r="X74" s="33">
        <v>4705582.19</v>
      </c>
      <c r="Y74" s="37">
        <v>0.7877</v>
      </c>
      <c r="Z74" s="18">
        <v>39463</v>
      </c>
      <c r="AA74" s="17">
        <v>19628.63</v>
      </c>
      <c r="AB74" s="17">
        <v>2383460.07</v>
      </c>
      <c r="AC74" s="17">
        <v>2972113.78</v>
      </c>
      <c r="AD74" s="5">
        <v>0.8019</v>
      </c>
    </row>
    <row r="75" spans="1:30" ht="12.75">
      <c r="A75" s="133">
        <v>41278</v>
      </c>
      <c r="B75" s="120">
        <v>67166.35</v>
      </c>
      <c r="C75" s="120">
        <v>5593787.86</v>
      </c>
      <c r="D75" s="120">
        <v>7721116.19</v>
      </c>
      <c r="E75" s="61">
        <v>0.7245</v>
      </c>
      <c r="F75" s="134">
        <v>40914</v>
      </c>
      <c r="G75" s="120">
        <v>50178.32</v>
      </c>
      <c r="H75" s="120">
        <v>4994727.79</v>
      </c>
      <c r="I75" s="120">
        <v>6932310.02</v>
      </c>
      <c r="J75" s="61">
        <v>0.7205</v>
      </c>
      <c r="K75" s="65">
        <v>40549</v>
      </c>
      <c r="L75" s="120">
        <v>27112.16</v>
      </c>
      <c r="M75" s="120">
        <v>4330186.24</v>
      </c>
      <c r="N75" s="120">
        <v>5785699.82</v>
      </c>
      <c r="O75" s="61">
        <v>0.7484</v>
      </c>
      <c r="P75" s="65">
        <v>40184</v>
      </c>
      <c r="Q75" s="49">
        <v>73683.65</v>
      </c>
      <c r="R75" s="49">
        <v>4282705.57</v>
      </c>
      <c r="S75" s="49">
        <v>5645545.44</v>
      </c>
      <c r="T75" s="61">
        <v>0.7586</v>
      </c>
      <c r="U75" s="73">
        <v>39833</v>
      </c>
      <c r="V75" s="33">
        <v>41219.67</v>
      </c>
      <c r="W75" s="33">
        <v>3747746.1</v>
      </c>
      <c r="X75" s="33">
        <v>4705582.19</v>
      </c>
      <c r="Y75" s="37">
        <v>0.7964</v>
      </c>
      <c r="Z75" s="24">
        <v>39464</v>
      </c>
      <c r="AA75" s="23">
        <v>8442.09</v>
      </c>
      <c r="AB75" s="23">
        <v>2391902.16</v>
      </c>
      <c r="AC75" s="46">
        <v>2972113.78</v>
      </c>
      <c r="AD75" s="78">
        <v>0.8</v>
      </c>
    </row>
    <row r="76" spans="1:30" ht="12.75">
      <c r="A76" s="133">
        <v>41281</v>
      </c>
      <c r="B76" s="120">
        <v>27745.53</v>
      </c>
      <c r="C76" s="120">
        <v>5621533.57</v>
      </c>
      <c r="D76" s="120">
        <v>7721116.19</v>
      </c>
      <c r="E76" s="61">
        <v>0.7281</v>
      </c>
      <c r="F76" s="134">
        <v>40917</v>
      </c>
      <c r="G76" s="120">
        <v>65467.65</v>
      </c>
      <c r="H76" s="120">
        <v>5060195.44</v>
      </c>
      <c r="I76" s="120">
        <v>6932310.02</v>
      </c>
      <c r="J76" s="61">
        <v>0.7299</v>
      </c>
      <c r="K76" s="65">
        <v>40550</v>
      </c>
      <c r="L76" s="120">
        <v>77691.67</v>
      </c>
      <c r="M76" s="120">
        <v>4407877.91</v>
      </c>
      <c r="N76" s="120">
        <v>5785575.21</v>
      </c>
      <c r="O76" s="61">
        <v>0.7619</v>
      </c>
      <c r="P76" s="65">
        <v>40185</v>
      </c>
      <c r="Q76" s="49">
        <v>33298.23</v>
      </c>
      <c r="R76" s="49">
        <v>4316003.82</v>
      </c>
      <c r="S76" s="49">
        <v>5645545.44</v>
      </c>
      <c r="T76" s="61">
        <v>0.7645</v>
      </c>
      <c r="U76" s="35">
        <v>39834</v>
      </c>
      <c r="V76" s="33">
        <v>27288.24</v>
      </c>
      <c r="W76" s="33">
        <v>3775034.34</v>
      </c>
      <c r="X76" s="33">
        <v>4705582.19</v>
      </c>
      <c r="Y76" s="37">
        <v>0.8022</v>
      </c>
      <c r="Z76" s="18">
        <v>39465</v>
      </c>
      <c r="AA76" s="17">
        <v>11486.23</v>
      </c>
      <c r="AB76" s="17">
        <v>2402540.45</v>
      </c>
      <c r="AC76" s="17">
        <v>2971541.24</v>
      </c>
      <c r="AD76" s="5">
        <v>0.8085</v>
      </c>
    </row>
    <row r="77" spans="1:30" ht="12.75">
      <c r="A77" s="133">
        <v>41282</v>
      </c>
      <c r="B77" s="120">
        <v>45966.15</v>
      </c>
      <c r="C77" s="120">
        <v>5667499.86</v>
      </c>
      <c r="D77" s="120">
        <v>7721116.19</v>
      </c>
      <c r="E77" s="61">
        <v>0.734</v>
      </c>
      <c r="F77" s="134">
        <v>40918</v>
      </c>
      <c r="G77" s="120">
        <v>38871.05</v>
      </c>
      <c r="H77" s="120">
        <v>5099066.55</v>
      </c>
      <c r="I77" s="120">
        <v>6932310.02</v>
      </c>
      <c r="J77" s="61">
        <v>0.7356</v>
      </c>
      <c r="K77" s="65">
        <v>40553</v>
      </c>
      <c r="L77" s="120">
        <v>21045.59</v>
      </c>
      <c r="M77" s="120">
        <v>4428923.5</v>
      </c>
      <c r="N77" s="120">
        <v>5785575.21</v>
      </c>
      <c r="O77" s="61">
        <v>0.7655</v>
      </c>
      <c r="P77" s="65">
        <v>40186</v>
      </c>
      <c r="Q77" s="49">
        <v>9125.91</v>
      </c>
      <c r="R77" s="49">
        <v>4320415.71</v>
      </c>
      <c r="S77" s="49">
        <v>5645545.44</v>
      </c>
      <c r="T77" s="61">
        <v>0.7661</v>
      </c>
      <c r="U77" s="35">
        <v>39835</v>
      </c>
      <c r="V77" s="33">
        <v>42258.75</v>
      </c>
      <c r="W77" s="33">
        <v>3817293.09</v>
      </c>
      <c r="X77" s="33">
        <v>4705582.19</v>
      </c>
      <c r="Y77" s="37">
        <v>0.8114</v>
      </c>
      <c r="Z77" s="18">
        <v>39469</v>
      </c>
      <c r="AA77" s="17">
        <v>14744.49</v>
      </c>
      <c r="AB77" s="17">
        <v>2417284.94</v>
      </c>
      <c r="AC77" s="17">
        <v>2971541.24</v>
      </c>
      <c r="AD77" s="5">
        <v>0.8135</v>
      </c>
    </row>
    <row r="78" spans="1:30" ht="12.75">
      <c r="A78" s="133">
        <v>41283</v>
      </c>
      <c r="B78" s="120">
        <v>52586.52</v>
      </c>
      <c r="C78" s="120">
        <v>5720086.38</v>
      </c>
      <c r="D78" s="120">
        <v>7721116.19</v>
      </c>
      <c r="E78" s="61">
        <v>0.7408</v>
      </c>
      <c r="F78" s="134">
        <v>40919</v>
      </c>
      <c r="G78" s="120">
        <v>39205.1</v>
      </c>
      <c r="H78" s="120">
        <v>5138271.65</v>
      </c>
      <c r="I78" s="120">
        <v>6932310.02</v>
      </c>
      <c r="J78" s="61">
        <v>0.7412000000000001</v>
      </c>
      <c r="K78" s="65">
        <v>40554</v>
      </c>
      <c r="L78" s="120">
        <v>8560.07</v>
      </c>
      <c r="M78" s="120">
        <v>4437483.57</v>
      </c>
      <c r="N78" s="120">
        <v>5785575.21</v>
      </c>
      <c r="O78" s="61">
        <v>0.767</v>
      </c>
      <c r="P78" s="65">
        <v>40189</v>
      </c>
      <c r="Q78" s="49">
        <v>11839.41</v>
      </c>
      <c r="R78" s="49">
        <v>4336969.14</v>
      </c>
      <c r="S78" s="49">
        <v>5645545.44</v>
      </c>
      <c r="T78" s="61">
        <v>0.7682</v>
      </c>
      <c r="U78" s="35">
        <v>39836</v>
      </c>
      <c r="V78" s="33">
        <v>23099.4</v>
      </c>
      <c r="W78" s="33">
        <v>3840392.49</v>
      </c>
      <c r="X78" s="33">
        <v>4704348.37</v>
      </c>
      <c r="Y78" s="37">
        <v>0.8163</v>
      </c>
      <c r="Z78" s="18">
        <v>39470</v>
      </c>
      <c r="AA78" s="17">
        <v>17900.09</v>
      </c>
      <c r="AB78" s="17">
        <v>2435184.54</v>
      </c>
      <c r="AC78" s="17">
        <v>2971541.24</v>
      </c>
      <c r="AD78" s="5">
        <v>0.8195</v>
      </c>
    </row>
    <row r="79" spans="1:31" ht="12.75">
      <c r="A79" s="133">
        <v>41284</v>
      </c>
      <c r="B79" s="120">
        <v>15607.85</v>
      </c>
      <c r="C79" s="120">
        <v>5735693.73</v>
      </c>
      <c r="D79" s="120">
        <v>7721116.19</v>
      </c>
      <c r="E79" s="61">
        <v>0.7429</v>
      </c>
      <c r="F79" s="134">
        <v>40920</v>
      </c>
      <c r="G79" s="120">
        <v>30639.31</v>
      </c>
      <c r="H79" s="120">
        <v>5168910.96</v>
      </c>
      <c r="I79" s="120">
        <v>6932310.02</v>
      </c>
      <c r="J79" s="61">
        <v>0.7456</v>
      </c>
      <c r="K79" s="65">
        <v>40555</v>
      </c>
      <c r="L79" s="120">
        <v>8399.82</v>
      </c>
      <c r="M79" s="120">
        <v>4445883.39</v>
      </c>
      <c r="N79" s="120">
        <v>5785575.21</v>
      </c>
      <c r="O79" s="61">
        <v>0.7684</v>
      </c>
      <c r="P79" s="65">
        <v>40190</v>
      </c>
      <c r="Q79" s="49">
        <v>25824.31</v>
      </c>
      <c r="R79" s="49">
        <v>4362793.45</v>
      </c>
      <c r="S79" s="49">
        <v>5645545.44</v>
      </c>
      <c r="T79" s="61">
        <v>0.7728</v>
      </c>
      <c r="U79" s="35">
        <v>39839</v>
      </c>
      <c r="V79" s="33">
        <v>98485</v>
      </c>
      <c r="W79" s="33">
        <v>3938877.49</v>
      </c>
      <c r="X79" s="33">
        <v>4704348.37</v>
      </c>
      <c r="Y79" s="37">
        <v>0.8372</v>
      </c>
      <c r="Z79" s="18">
        <v>39471</v>
      </c>
      <c r="AA79" s="17">
        <v>25721.35</v>
      </c>
      <c r="AB79" s="17">
        <v>2460905.91</v>
      </c>
      <c r="AC79" s="17">
        <v>2971541.24</v>
      </c>
      <c r="AD79" s="5">
        <v>0.8282</v>
      </c>
      <c r="AE79" s="58"/>
    </row>
    <row r="80" spans="1:30" ht="12.75">
      <c r="A80" s="133">
        <v>41285</v>
      </c>
      <c r="B80" s="120">
        <v>142513.58</v>
      </c>
      <c r="C80" s="120">
        <v>5878207.03</v>
      </c>
      <c r="D80" s="120">
        <v>7721116.19</v>
      </c>
      <c r="E80" s="61">
        <v>0.7613</v>
      </c>
      <c r="F80" s="134">
        <v>40921</v>
      </c>
      <c r="G80" s="120">
        <v>30333.99</v>
      </c>
      <c r="H80" s="120">
        <v>5199244.95</v>
      </c>
      <c r="I80" s="120">
        <v>6932310.02</v>
      </c>
      <c r="J80" s="61">
        <v>0.75</v>
      </c>
      <c r="K80" s="65">
        <v>40556</v>
      </c>
      <c r="L80" s="120">
        <v>29194.38</v>
      </c>
      <c r="M80" s="120">
        <v>4475077.77</v>
      </c>
      <c r="N80" s="120">
        <v>5785575.21</v>
      </c>
      <c r="O80" s="61">
        <v>0.7735</v>
      </c>
      <c r="P80" s="65">
        <v>40191</v>
      </c>
      <c r="Q80" s="49">
        <v>13231.65</v>
      </c>
      <c r="R80" s="49">
        <v>4376025.1</v>
      </c>
      <c r="S80" s="49">
        <v>5645545.44</v>
      </c>
      <c r="T80" s="61">
        <v>0.7751</v>
      </c>
      <c r="U80" s="35">
        <v>39840</v>
      </c>
      <c r="V80" s="33">
        <v>95546.54</v>
      </c>
      <c r="W80" s="33">
        <v>4034424.03</v>
      </c>
      <c r="X80" s="33">
        <v>4704348.37</v>
      </c>
      <c r="Y80" s="37">
        <v>0.8576</v>
      </c>
      <c r="Z80" s="18">
        <v>39472</v>
      </c>
      <c r="AA80" s="17">
        <v>11010.91</v>
      </c>
      <c r="AB80" s="17">
        <v>2471916.82</v>
      </c>
      <c r="AC80" s="17">
        <v>2971541.24</v>
      </c>
      <c r="AD80" s="5">
        <v>0.8319</v>
      </c>
    </row>
    <row r="81" spans="1:30" ht="12.75">
      <c r="A81" s="133">
        <v>41288</v>
      </c>
      <c r="B81" s="120">
        <v>22455.12</v>
      </c>
      <c r="C81" s="120">
        <v>5900662.15</v>
      </c>
      <c r="D81" s="120">
        <v>7721116.19</v>
      </c>
      <c r="E81" s="61">
        <v>0.7642</v>
      </c>
      <c r="F81" s="134">
        <v>40925</v>
      </c>
      <c r="G81" s="120">
        <v>242842.02</v>
      </c>
      <c r="H81" s="120">
        <v>5442087.2</v>
      </c>
      <c r="I81" s="120">
        <v>6932310.02</v>
      </c>
      <c r="J81" s="61">
        <v>0.785</v>
      </c>
      <c r="K81" s="65">
        <v>40557</v>
      </c>
      <c r="L81" s="120">
        <v>94637.05</v>
      </c>
      <c r="M81" s="120">
        <v>4569714.82</v>
      </c>
      <c r="N81" s="120">
        <v>5785575.21</v>
      </c>
      <c r="O81" s="61">
        <v>0.7898</v>
      </c>
      <c r="P81" s="65">
        <v>40192</v>
      </c>
      <c r="Q81" s="49">
        <v>36272.16</v>
      </c>
      <c r="R81" s="49">
        <v>4412297.26</v>
      </c>
      <c r="S81" s="49">
        <v>5645545.44</v>
      </c>
      <c r="T81" s="61">
        <v>0.7816</v>
      </c>
      <c r="U81" s="35">
        <v>39841</v>
      </c>
      <c r="V81" s="33">
        <v>71710.33</v>
      </c>
      <c r="W81" s="33">
        <v>4106134.36</v>
      </c>
      <c r="X81" s="33">
        <v>4704348.37</v>
      </c>
      <c r="Y81" s="37">
        <v>0.8728</v>
      </c>
      <c r="Z81" s="18">
        <v>39475</v>
      </c>
      <c r="AA81" s="17">
        <v>32809.61</v>
      </c>
      <c r="AB81" s="17">
        <v>2504726.52</v>
      </c>
      <c r="AC81" s="17">
        <v>2971541.24</v>
      </c>
      <c r="AD81" s="5">
        <v>0.8429</v>
      </c>
    </row>
    <row r="82" spans="1:30" ht="12.75">
      <c r="A82" s="133">
        <v>41289</v>
      </c>
      <c r="B82" s="120">
        <v>83516.13</v>
      </c>
      <c r="C82" s="120">
        <v>5984178.28</v>
      </c>
      <c r="D82" s="120">
        <v>7721116.19</v>
      </c>
      <c r="E82" s="61">
        <v>0.775</v>
      </c>
      <c r="F82" s="134">
        <v>40926</v>
      </c>
      <c r="G82" s="120">
        <v>83110.21</v>
      </c>
      <c r="H82" s="120">
        <v>5525197.41</v>
      </c>
      <c r="I82" s="120">
        <v>6932310.02</v>
      </c>
      <c r="J82" s="61">
        <v>0.797</v>
      </c>
      <c r="K82" s="65">
        <v>40558</v>
      </c>
      <c r="L82" s="120">
        <v>66644.88</v>
      </c>
      <c r="M82" s="120">
        <v>4636359.7</v>
      </c>
      <c r="N82" s="120">
        <v>5785575.21</v>
      </c>
      <c r="O82" s="61">
        <v>0.8014</v>
      </c>
      <c r="P82" s="65">
        <v>40193</v>
      </c>
      <c r="Q82" s="49">
        <v>20963.3</v>
      </c>
      <c r="R82" s="49">
        <v>4433260.56</v>
      </c>
      <c r="S82" s="49">
        <v>5645545.44</v>
      </c>
      <c r="T82" s="61">
        <v>0.7853</v>
      </c>
      <c r="U82" s="35">
        <v>39842</v>
      </c>
      <c r="V82" s="33">
        <v>38251.8</v>
      </c>
      <c r="W82" s="33">
        <v>4144386.16</v>
      </c>
      <c r="X82" s="33">
        <v>4704348.37</v>
      </c>
      <c r="Y82" s="37">
        <v>0.881</v>
      </c>
      <c r="Z82" s="18">
        <v>39476</v>
      </c>
      <c r="AA82" s="17">
        <v>52558.43</v>
      </c>
      <c r="AB82" s="17">
        <v>2557284.95</v>
      </c>
      <c r="AC82" s="17">
        <v>2971541.24</v>
      </c>
      <c r="AD82" s="5">
        <v>0.8606</v>
      </c>
    </row>
    <row r="83" spans="1:30" ht="12.75">
      <c r="A83" s="133">
        <v>41290</v>
      </c>
      <c r="B83" s="120">
        <v>100910.66</v>
      </c>
      <c r="C83" s="120">
        <v>6085088.94</v>
      </c>
      <c r="D83" s="120">
        <v>7721116.19</v>
      </c>
      <c r="E83" s="61">
        <v>0.7881</v>
      </c>
      <c r="F83" s="134">
        <v>40927</v>
      </c>
      <c r="G83" s="120">
        <v>13542.06</v>
      </c>
      <c r="H83" s="120">
        <v>5538739.47</v>
      </c>
      <c r="I83" s="120">
        <v>6932310.02</v>
      </c>
      <c r="J83" s="61">
        <v>0.799</v>
      </c>
      <c r="K83" s="65">
        <v>40562</v>
      </c>
      <c r="L83" s="120">
        <v>27519.55</v>
      </c>
      <c r="M83" s="120">
        <v>4663879.25</v>
      </c>
      <c r="N83" s="120">
        <v>5785575.21</v>
      </c>
      <c r="O83" s="61">
        <v>0.8061</v>
      </c>
      <c r="P83" s="65">
        <v>40197</v>
      </c>
      <c r="Q83" s="49">
        <v>23899.24</v>
      </c>
      <c r="R83" s="49">
        <v>4457159.24</v>
      </c>
      <c r="S83" s="49">
        <v>5645545.44</v>
      </c>
      <c r="T83" s="61">
        <v>0.7895</v>
      </c>
      <c r="U83" s="35">
        <v>39843</v>
      </c>
      <c r="V83" s="33">
        <v>62644.44</v>
      </c>
      <c r="W83" s="33">
        <v>4207030.6</v>
      </c>
      <c r="X83" s="33">
        <v>4704348.37</v>
      </c>
      <c r="Y83" s="37">
        <v>0.8943</v>
      </c>
      <c r="Z83" s="18">
        <v>39477</v>
      </c>
      <c r="AA83" s="17">
        <v>33599.14</v>
      </c>
      <c r="AB83" s="17">
        <v>2590884.11</v>
      </c>
      <c r="AC83" s="17">
        <v>2971541.24</v>
      </c>
      <c r="AD83" s="5">
        <v>0.8719</v>
      </c>
    </row>
    <row r="84" spans="1:30" ht="12.75">
      <c r="A84" s="133">
        <v>41291</v>
      </c>
      <c r="B84" s="120">
        <v>43264.88</v>
      </c>
      <c r="C84" s="120">
        <v>6128353.86</v>
      </c>
      <c r="D84" s="120">
        <v>7721116.19</v>
      </c>
      <c r="E84" s="61">
        <v>0.7937</v>
      </c>
      <c r="F84" s="134">
        <v>40928</v>
      </c>
      <c r="G84" s="120">
        <v>84338.15</v>
      </c>
      <c r="H84" s="120">
        <v>5622303.12</v>
      </c>
      <c r="I84" s="120">
        <v>6932310.02</v>
      </c>
      <c r="J84" s="61">
        <v>0.8109999999999999</v>
      </c>
      <c r="K84" s="65">
        <v>40563</v>
      </c>
      <c r="L84" s="120">
        <v>52104.12</v>
      </c>
      <c r="M84" s="120">
        <v>4715983.37</v>
      </c>
      <c r="N84" s="120">
        <v>5785575.21</v>
      </c>
      <c r="O84" s="61">
        <v>0.8151</v>
      </c>
      <c r="P84" s="65">
        <v>40198</v>
      </c>
      <c r="Q84" s="49">
        <v>45377.7</v>
      </c>
      <c r="R84" s="49">
        <v>4502536.94</v>
      </c>
      <c r="S84" s="49">
        <v>5645545.44</v>
      </c>
      <c r="T84" s="61">
        <v>0.7975</v>
      </c>
      <c r="U84" s="35">
        <v>39844</v>
      </c>
      <c r="V84" s="38">
        <v>94554.87</v>
      </c>
      <c r="W84" s="28">
        <v>4301585.47</v>
      </c>
      <c r="X84" s="33">
        <v>4704348.37</v>
      </c>
      <c r="Y84" s="37">
        <v>0.9144</v>
      </c>
      <c r="Z84" s="19">
        <v>39478</v>
      </c>
      <c r="AA84" s="20">
        <v>43265.32</v>
      </c>
      <c r="AB84" s="20">
        <v>2634149.37</v>
      </c>
      <c r="AC84" s="20">
        <v>2971541.24</v>
      </c>
      <c r="AD84" s="21">
        <v>0.8865</v>
      </c>
    </row>
    <row r="85" spans="1:29" ht="12.75">
      <c r="A85" s="133">
        <v>41292</v>
      </c>
      <c r="B85" s="120">
        <v>29848.22</v>
      </c>
      <c r="C85" s="120">
        <v>6158202.08</v>
      </c>
      <c r="D85" s="120">
        <v>7721116.19</v>
      </c>
      <c r="E85" s="61">
        <v>0.7976</v>
      </c>
      <c r="F85" s="134">
        <v>40931</v>
      </c>
      <c r="G85" s="120">
        <v>73560.58</v>
      </c>
      <c r="H85" s="120">
        <v>5695863.7</v>
      </c>
      <c r="I85" s="120">
        <v>6936397.54</v>
      </c>
      <c r="J85" s="61">
        <v>0.8212</v>
      </c>
      <c r="K85" s="65">
        <v>40564</v>
      </c>
      <c r="L85" s="120">
        <v>20468.24</v>
      </c>
      <c r="M85" s="120">
        <v>4736451.61</v>
      </c>
      <c r="N85" s="120">
        <v>5785575.21</v>
      </c>
      <c r="O85" s="61">
        <v>0.8187</v>
      </c>
      <c r="P85" s="65">
        <v>40199</v>
      </c>
      <c r="Q85" s="49">
        <v>125591.06</v>
      </c>
      <c r="R85" s="49">
        <v>4628128</v>
      </c>
      <c r="S85" s="49">
        <v>5645545.44</v>
      </c>
      <c r="T85" s="61">
        <v>0.8198</v>
      </c>
      <c r="V85" s="16"/>
      <c r="W85" s="34"/>
      <c r="X85" s="34"/>
      <c r="Y85" s="4"/>
      <c r="Z85" s="26"/>
      <c r="AA85" s="10">
        <f>SUM(AA73:AA84)</f>
        <v>1147779.7599999998</v>
      </c>
      <c r="AB85" s="10"/>
      <c r="AC85" s="10"/>
    </row>
    <row r="86" spans="1:27" ht="12.75">
      <c r="A86" s="133">
        <v>41296</v>
      </c>
      <c r="B86" s="120">
        <v>109224.22</v>
      </c>
      <c r="C86" s="120">
        <v>6267426.3</v>
      </c>
      <c r="D86" s="120">
        <v>7721116.19</v>
      </c>
      <c r="E86" s="61">
        <v>0.8117</v>
      </c>
      <c r="F86" s="134">
        <v>40932</v>
      </c>
      <c r="G86" s="120">
        <v>103060.8</v>
      </c>
      <c r="H86" s="120">
        <v>5798924.5</v>
      </c>
      <c r="I86" s="120">
        <v>6936397.54</v>
      </c>
      <c r="J86" s="61">
        <v>0.836</v>
      </c>
      <c r="K86" s="65">
        <v>40567</v>
      </c>
      <c r="L86" s="120">
        <v>27667.66</v>
      </c>
      <c r="M86" s="120">
        <v>4764119.27</v>
      </c>
      <c r="N86" s="120">
        <v>5785575.21</v>
      </c>
      <c r="O86" s="61">
        <v>0.8234</v>
      </c>
      <c r="P86" s="65">
        <v>40200</v>
      </c>
      <c r="Q86" s="49">
        <v>26597.52</v>
      </c>
      <c r="R86" s="49">
        <v>4654725.52</v>
      </c>
      <c r="S86" s="49">
        <v>5642337.79</v>
      </c>
      <c r="T86" s="61">
        <v>0.825</v>
      </c>
      <c r="U86" s="6" t="s">
        <v>33</v>
      </c>
      <c r="V86" s="34">
        <f>SUM(V73:V84)</f>
        <v>937762.0100000001</v>
      </c>
      <c r="W86" s="34"/>
      <c r="X86" s="34"/>
      <c r="Y86" s="4"/>
      <c r="AA86" s="29">
        <f>SUM(AA5:AA7)</f>
        <v>1487218.98</v>
      </c>
    </row>
    <row r="87" spans="1:28" ht="12.75">
      <c r="A87" s="133">
        <v>41297</v>
      </c>
      <c r="B87" s="120">
        <v>40304.64</v>
      </c>
      <c r="C87" s="120">
        <v>6307730.17</v>
      </c>
      <c r="D87" s="120">
        <v>7719891.83</v>
      </c>
      <c r="E87" s="61">
        <v>0.8171</v>
      </c>
      <c r="F87" s="134">
        <v>40933</v>
      </c>
      <c r="G87" s="120">
        <v>142617.12</v>
      </c>
      <c r="H87" s="120">
        <v>5941541.62</v>
      </c>
      <c r="I87" s="120">
        <v>6936397.54</v>
      </c>
      <c r="J87" s="61">
        <v>0.8565999999999999</v>
      </c>
      <c r="K87" s="65">
        <v>40568</v>
      </c>
      <c r="L87" s="120">
        <v>116379.67</v>
      </c>
      <c r="M87" s="120">
        <v>4880498.89</v>
      </c>
      <c r="N87" s="120">
        <v>5784304.24</v>
      </c>
      <c r="O87" s="61">
        <v>0.8437</v>
      </c>
      <c r="P87" s="65">
        <v>40203</v>
      </c>
      <c r="Q87" s="49">
        <v>43411.27</v>
      </c>
      <c r="R87" s="49">
        <v>4698136.79</v>
      </c>
      <c r="S87" s="49">
        <v>5642337.79</v>
      </c>
      <c r="T87" s="61">
        <v>0.8327</v>
      </c>
      <c r="U87" s="6" t="s">
        <v>31</v>
      </c>
      <c r="V87" s="38">
        <v>3363822.6</v>
      </c>
      <c r="W87" s="16"/>
      <c r="X87" s="16"/>
      <c r="Y87" s="4"/>
      <c r="AA87" s="79">
        <f>SUM(AA85:AA86)</f>
        <v>2634998.7399999998</v>
      </c>
      <c r="AB87" s="40"/>
    </row>
    <row r="88" spans="1:25" ht="12.75">
      <c r="A88" s="133">
        <v>41298</v>
      </c>
      <c r="B88" s="120">
        <v>57712.66</v>
      </c>
      <c r="C88" s="120">
        <v>6365442.77</v>
      </c>
      <c r="D88" s="120">
        <v>7719891.83</v>
      </c>
      <c r="E88" s="61">
        <v>0.8246</v>
      </c>
      <c r="F88" s="134">
        <v>40934</v>
      </c>
      <c r="G88" s="120">
        <v>65202.38</v>
      </c>
      <c r="H88" s="120">
        <v>6006744</v>
      </c>
      <c r="I88" s="120">
        <v>6936397.54</v>
      </c>
      <c r="J88" s="61">
        <v>0.866</v>
      </c>
      <c r="K88" s="65">
        <v>40569</v>
      </c>
      <c r="L88" s="120">
        <v>33889.8</v>
      </c>
      <c r="M88" s="120">
        <v>4914388.69</v>
      </c>
      <c r="N88" s="120">
        <v>5784304.24</v>
      </c>
      <c r="O88" s="61">
        <v>0.8496</v>
      </c>
      <c r="P88" s="65">
        <v>40204</v>
      </c>
      <c r="Q88" s="49">
        <v>49246.87</v>
      </c>
      <c r="R88" s="49">
        <v>4747383.66</v>
      </c>
      <c r="S88" s="49">
        <v>5642337.79</v>
      </c>
      <c r="T88" s="61">
        <v>0.8414</v>
      </c>
      <c r="U88" s="6" t="s">
        <v>35</v>
      </c>
      <c r="V88" s="34">
        <f>SUM(V86:V87)</f>
        <v>4301584.61</v>
      </c>
      <c r="W88" s="16"/>
      <c r="X88" s="16"/>
      <c r="Y88" s="4"/>
    </row>
    <row r="89" spans="1:25" ht="12.75">
      <c r="A89" s="133">
        <v>41299</v>
      </c>
      <c r="B89" s="120">
        <v>62064.14</v>
      </c>
      <c r="C89" s="120">
        <v>6426174.83</v>
      </c>
      <c r="D89" s="120">
        <v>7719891.83</v>
      </c>
      <c r="E89" s="61">
        <v>0.8324</v>
      </c>
      <c r="F89" s="134">
        <v>40935</v>
      </c>
      <c r="G89" s="120">
        <v>160150.45</v>
      </c>
      <c r="H89" s="120">
        <v>6166894.45</v>
      </c>
      <c r="I89" s="120">
        <v>6936397.54</v>
      </c>
      <c r="J89" s="61">
        <v>0.8891</v>
      </c>
      <c r="K89" s="65">
        <v>40570</v>
      </c>
      <c r="L89" s="120">
        <v>46903.3</v>
      </c>
      <c r="M89" s="120">
        <v>4961291.84</v>
      </c>
      <c r="N89" s="120">
        <v>5784304.24</v>
      </c>
      <c r="O89" s="61">
        <v>0.8577</v>
      </c>
      <c r="P89" s="65">
        <v>40205</v>
      </c>
      <c r="Q89" s="49">
        <v>109203.93</v>
      </c>
      <c r="R89" s="49">
        <v>4856587.61</v>
      </c>
      <c r="S89" s="49">
        <v>5642337.79</v>
      </c>
      <c r="T89" s="61">
        <v>0.8607</v>
      </c>
      <c r="U89" t="s">
        <v>32</v>
      </c>
      <c r="V89" s="39">
        <v>0.86</v>
      </c>
      <c r="W89" s="16"/>
      <c r="X89" s="16"/>
      <c r="Y89" s="4"/>
    </row>
    <row r="90" spans="1:28" ht="12.75">
      <c r="A90" s="133">
        <v>41302</v>
      </c>
      <c r="B90" s="120">
        <v>164400.46</v>
      </c>
      <c r="C90" s="120">
        <v>6590575.29</v>
      </c>
      <c r="D90" s="120">
        <v>7719891.83</v>
      </c>
      <c r="E90" s="61">
        <v>0.8537</v>
      </c>
      <c r="F90" s="134">
        <v>40938</v>
      </c>
      <c r="G90" s="120">
        <v>71335.27</v>
      </c>
      <c r="H90" s="120">
        <v>6238229.74</v>
      </c>
      <c r="I90" s="120">
        <v>6936397.54</v>
      </c>
      <c r="J90" s="61">
        <v>0.8993000000000001</v>
      </c>
      <c r="K90" s="65">
        <v>40571</v>
      </c>
      <c r="L90" s="120">
        <v>106729.43</v>
      </c>
      <c r="M90" s="120">
        <v>5068021.29</v>
      </c>
      <c r="N90" s="120">
        <v>5784304.24</v>
      </c>
      <c r="O90" s="61">
        <v>0.8762</v>
      </c>
      <c r="P90" s="65">
        <v>40206</v>
      </c>
      <c r="Q90" s="49">
        <v>106621.81</v>
      </c>
      <c r="R90" s="49">
        <v>4963209.42</v>
      </c>
      <c r="S90" s="49">
        <v>5642337.79</v>
      </c>
      <c r="T90" s="61">
        <v>0.8796</v>
      </c>
      <c r="U90" s="68" t="s">
        <v>36</v>
      </c>
      <c r="V90" s="34">
        <f>SUM(V88:V89)</f>
        <v>4301585.470000001</v>
      </c>
      <c r="W90" s="16"/>
      <c r="X90" s="16"/>
      <c r="Y90" s="4"/>
      <c r="Z90" s="25" t="s">
        <v>51</v>
      </c>
      <c r="AA90" s="27"/>
      <c r="AB90" s="27"/>
    </row>
    <row r="91" spans="1:26" ht="12.75">
      <c r="A91" s="133">
        <v>41303</v>
      </c>
      <c r="B91" s="120">
        <v>150380.62</v>
      </c>
      <c r="C91" s="120">
        <v>6740955.91</v>
      </c>
      <c r="D91" s="120">
        <v>7719891.83</v>
      </c>
      <c r="E91" s="61">
        <v>0.8732</v>
      </c>
      <c r="F91" s="134">
        <v>40939</v>
      </c>
      <c r="G91" s="118">
        <v>187414.23</v>
      </c>
      <c r="H91" s="120">
        <v>6425643.83</v>
      </c>
      <c r="I91" s="120">
        <v>6936397.54</v>
      </c>
      <c r="J91" s="61">
        <v>0.9264</v>
      </c>
      <c r="K91" s="65">
        <v>40574</v>
      </c>
      <c r="L91" s="120">
        <v>162882.42</v>
      </c>
      <c r="M91" s="120">
        <v>5230903.71</v>
      </c>
      <c r="N91" s="120">
        <v>5784304.24</v>
      </c>
      <c r="O91" s="61">
        <v>0.9043</v>
      </c>
      <c r="P91" s="65">
        <v>40207</v>
      </c>
      <c r="Q91" s="49">
        <v>71644.85</v>
      </c>
      <c r="R91" s="49">
        <v>5034854.27</v>
      </c>
      <c r="S91" s="49">
        <v>5642337.79</v>
      </c>
      <c r="T91" s="61">
        <v>0.8923</v>
      </c>
      <c r="U91" s="6"/>
      <c r="V91" s="50"/>
      <c r="W91" s="75"/>
      <c r="X91" s="75"/>
      <c r="Y91" s="4"/>
      <c r="Z91" s="42"/>
    </row>
    <row r="92" spans="1:26" ht="12.75">
      <c r="A92" s="133">
        <v>41304</v>
      </c>
      <c r="B92" s="120">
        <v>128522.37</v>
      </c>
      <c r="C92" s="120">
        <v>6869478.28</v>
      </c>
      <c r="D92" s="120">
        <v>7719891.83</v>
      </c>
      <c r="E92" s="61">
        <v>0.8898</v>
      </c>
      <c r="G92" s="120">
        <f>SUM(G73:G91)</f>
        <v>2986816.81</v>
      </c>
      <c r="H92" s="120"/>
      <c r="I92" s="120"/>
      <c r="J92" s="11"/>
      <c r="K92" s="65"/>
      <c r="L92" s="120"/>
      <c r="M92" s="120"/>
      <c r="N92" s="120"/>
      <c r="P92" s="65">
        <v>40209</v>
      </c>
      <c r="Q92" s="49">
        <v>155214.25</v>
      </c>
      <c r="R92" s="49">
        <v>5190068.52</v>
      </c>
      <c r="S92" s="49">
        <v>5642337.79</v>
      </c>
      <c r="T92" s="61">
        <v>0.9198</v>
      </c>
      <c r="U92" s="6"/>
      <c r="V92" s="50"/>
      <c r="W92" s="75"/>
      <c r="X92" s="75"/>
      <c r="Y92" s="4"/>
      <c r="Z92" s="42"/>
    </row>
    <row r="93" spans="1:26" ht="12.75">
      <c r="A93" s="133">
        <v>41305</v>
      </c>
      <c r="B93" s="118">
        <v>180632.34</v>
      </c>
      <c r="C93" s="120">
        <v>7050110.62</v>
      </c>
      <c r="D93" s="120">
        <v>7719891.83</v>
      </c>
      <c r="E93" s="61">
        <v>0.9132</v>
      </c>
      <c r="G93" s="120"/>
      <c r="H93" s="120"/>
      <c r="I93" s="120"/>
      <c r="J93" s="11"/>
      <c r="K93" s="65" t="s">
        <v>62</v>
      </c>
      <c r="L93" s="120">
        <f>SUM(L73:L92)</f>
        <v>1002807.4400000003</v>
      </c>
      <c r="M93" s="120"/>
      <c r="N93" s="120"/>
      <c r="P93" s="65"/>
      <c r="Q93" s="49"/>
      <c r="R93" s="49"/>
      <c r="S93" s="49"/>
      <c r="T93" s="11"/>
      <c r="U93" s="6"/>
      <c r="V93" s="50"/>
      <c r="W93" s="75"/>
      <c r="X93" s="75"/>
      <c r="Y93" s="4"/>
      <c r="Z93" s="42"/>
    </row>
    <row r="94" spans="2:26" ht="12.75">
      <c r="B94" s="120">
        <f>SUM(B73:B93)</f>
        <v>1670910.1500000001</v>
      </c>
      <c r="C94" s="120"/>
      <c r="D94" s="120"/>
      <c r="E94" s="11"/>
      <c r="G94" s="120"/>
      <c r="H94" s="120"/>
      <c r="I94" s="120"/>
      <c r="J94" s="11"/>
      <c r="K94" s="65" t="s">
        <v>50</v>
      </c>
      <c r="L94" s="118">
        <f>L66</f>
        <v>4228098.34</v>
      </c>
      <c r="M94" s="120"/>
      <c r="N94" s="120"/>
      <c r="P94" s="65"/>
      <c r="Q94" s="49"/>
      <c r="R94" s="49"/>
      <c r="S94" s="49"/>
      <c r="T94" s="11"/>
      <c r="U94" s="6"/>
      <c r="V94" s="50"/>
      <c r="W94" s="75"/>
      <c r="X94" s="75"/>
      <c r="Y94" s="4"/>
      <c r="Z94" s="42"/>
    </row>
    <row r="95" spans="5:26" ht="12.75">
      <c r="E95" s="11"/>
      <c r="G95" s="120"/>
      <c r="H95" s="120"/>
      <c r="I95" s="120"/>
      <c r="J95" s="11"/>
      <c r="K95" s="65" t="s">
        <v>35</v>
      </c>
      <c r="L95" s="120">
        <f>SUM(L93:L94)</f>
        <v>5230905.78</v>
      </c>
      <c r="M95" s="120"/>
      <c r="N95" s="120"/>
      <c r="P95" s="65" t="s">
        <v>50</v>
      </c>
      <c r="Q95" s="51">
        <v>4132700.11</v>
      </c>
      <c r="R95" s="49"/>
      <c r="S95" s="49"/>
      <c r="T95" s="11"/>
      <c r="U95" s="6"/>
      <c r="V95" s="50"/>
      <c r="W95" s="75"/>
      <c r="X95" s="75"/>
      <c r="Y95" s="4"/>
      <c r="Z95" s="42"/>
    </row>
    <row r="96" spans="5:26" ht="12.75">
      <c r="E96" s="11"/>
      <c r="G96" s="120"/>
      <c r="H96" s="120"/>
      <c r="I96" s="120"/>
      <c r="J96" s="11"/>
      <c r="K96" s="65" t="s">
        <v>32</v>
      </c>
      <c r="L96" s="118">
        <v>-2.07</v>
      </c>
      <c r="M96" s="120"/>
      <c r="N96" s="120"/>
      <c r="P96" s="65" t="s">
        <v>35</v>
      </c>
      <c r="Q96" s="49">
        <f>SUM(Q73:Q95)</f>
        <v>5190068.99</v>
      </c>
      <c r="R96" s="49"/>
      <c r="S96" s="49"/>
      <c r="T96" s="11"/>
      <c r="U96" s="6"/>
      <c r="V96" s="50"/>
      <c r="W96" s="75"/>
      <c r="X96" s="75"/>
      <c r="Y96" s="4"/>
      <c r="Z96" s="42"/>
    </row>
    <row r="97" spans="5:26" ht="12.75">
      <c r="E97" s="11"/>
      <c r="G97" s="120"/>
      <c r="H97" s="120"/>
      <c r="I97" s="120"/>
      <c r="J97" s="11"/>
      <c r="K97" s="67" t="s">
        <v>36</v>
      </c>
      <c r="L97" s="120">
        <f>SUM(L95:L96)</f>
        <v>5230903.71</v>
      </c>
      <c r="M97" s="120"/>
      <c r="N97" s="120"/>
      <c r="P97" s="65" t="s">
        <v>32</v>
      </c>
      <c r="Q97" s="51">
        <v>-0.47</v>
      </c>
      <c r="R97" s="49"/>
      <c r="S97" s="49"/>
      <c r="T97" s="11"/>
      <c r="U97" s="6"/>
      <c r="V97" s="50"/>
      <c r="W97" s="75"/>
      <c r="X97" s="75"/>
      <c r="Y97" s="4"/>
      <c r="Z97" s="42"/>
    </row>
    <row r="98" spans="5:26" ht="12.75">
      <c r="E98" s="11"/>
      <c r="G98" s="120"/>
      <c r="H98" s="120"/>
      <c r="I98" s="120"/>
      <c r="J98" s="11"/>
      <c r="L98" s="120"/>
      <c r="M98" s="120"/>
      <c r="N98" s="120"/>
      <c r="P98" s="67" t="s">
        <v>36</v>
      </c>
      <c r="Q98" s="49">
        <f>SUM(Q96:Q97)</f>
        <v>5190068.5200000005</v>
      </c>
      <c r="R98" s="49"/>
      <c r="S98" s="49"/>
      <c r="T98" s="11"/>
      <c r="U98" s="6"/>
      <c r="V98" s="50"/>
      <c r="W98" s="75"/>
      <c r="X98" s="75"/>
      <c r="Y98" s="4"/>
      <c r="Z98" s="42"/>
    </row>
    <row r="99" spans="5:26" ht="12.75">
      <c r="E99" s="11"/>
      <c r="G99" s="120"/>
      <c r="H99" s="120"/>
      <c r="I99" s="120"/>
      <c r="J99" s="12"/>
      <c r="L99" s="120"/>
      <c r="M99" s="120"/>
      <c r="N99" s="120"/>
      <c r="P99" s="67"/>
      <c r="Q99" s="49"/>
      <c r="R99" s="49"/>
      <c r="S99" s="49"/>
      <c r="T99" s="11"/>
      <c r="U99" s="6"/>
      <c r="V99" s="50"/>
      <c r="W99" s="75"/>
      <c r="X99" s="75"/>
      <c r="Y99" s="4"/>
      <c r="Z99" s="42"/>
    </row>
    <row r="100" spans="5:30" ht="12.75">
      <c r="E100" s="11"/>
      <c r="F100" s="225" t="s">
        <v>73</v>
      </c>
      <c r="G100" s="223"/>
      <c r="H100" s="223"/>
      <c r="I100" s="223"/>
      <c r="J100" s="224"/>
      <c r="P100" s="225" t="s">
        <v>52</v>
      </c>
      <c r="Q100" s="223"/>
      <c r="R100" s="223"/>
      <c r="S100" s="223"/>
      <c r="T100" s="224"/>
      <c r="U100" s="70"/>
      <c r="V100" s="223" t="s">
        <v>40</v>
      </c>
      <c r="W100" s="223"/>
      <c r="X100" s="223"/>
      <c r="Y100" s="224"/>
      <c r="Z100" s="70"/>
      <c r="AA100" s="223" t="s">
        <v>40</v>
      </c>
      <c r="AB100" s="223"/>
      <c r="AC100" s="223"/>
      <c r="AD100" s="224"/>
    </row>
    <row r="101" spans="5:30" ht="25.5">
      <c r="E101" s="11"/>
      <c r="F101" s="36"/>
      <c r="G101" s="2" t="s">
        <v>13</v>
      </c>
      <c r="H101" s="2" t="s">
        <v>14</v>
      </c>
      <c r="I101" s="2" t="s">
        <v>15</v>
      </c>
      <c r="J101" s="3" t="s">
        <v>23</v>
      </c>
      <c r="P101" s="36"/>
      <c r="Q101" s="2" t="s">
        <v>13</v>
      </c>
      <c r="R101" s="2" t="s">
        <v>14</v>
      </c>
      <c r="S101" s="2" t="s">
        <v>15</v>
      </c>
      <c r="T101" s="3" t="s">
        <v>23</v>
      </c>
      <c r="U101" s="77"/>
      <c r="V101" s="2" t="s">
        <v>13</v>
      </c>
      <c r="W101" s="2" t="s">
        <v>14</v>
      </c>
      <c r="X101" s="2" t="s">
        <v>15</v>
      </c>
      <c r="Y101" s="3" t="s">
        <v>23</v>
      </c>
      <c r="AA101" s="2" t="s">
        <v>13</v>
      </c>
      <c r="AB101" s="2" t="s">
        <v>14</v>
      </c>
      <c r="AC101" s="2" t="s">
        <v>15</v>
      </c>
      <c r="AD101" s="3" t="s">
        <v>23</v>
      </c>
    </row>
    <row r="102" spans="5:26" ht="12.75">
      <c r="E102" s="11"/>
      <c r="F102" s="65"/>
      <c r="G102" s="49"/>
      <c r="H102" s="49"/>
      <c r="I102" s="49"/>
      <c r="J102" s="11"/>
      <c r="P102" s="65"/>
      <c r="Q102" s="49"/>
      <c r="R102" s="49"/>
      <c r="S102" s="49"/>
      <c r="T102" s="11"/>
      <c r="V102" s="16"/>
      <c r="W102" s="16"/>
      <c r="X102" s="16"/>
      <c r="Y102" s="4"/>
      <c r="Z102" s="42"/>
    </row>
    <row r="103" spans="5:30" ht="12.75">
      <c r="E103" s="11"/>
      <c r="F103" s="65"/>
      <c r="G103" s="49"/>
      <c r="H103" s="49"/>
      <c r="I103" s="49"/>
      <c r="J103" s="11"/>
      <c r="P103" s="65"/>
      <c r="Q103" s="49"/>
      <c r="R103" s="49"/>
      <c r="S103" s="49"/>
      <c r="T103" s="11"/>
      <c r="U103" s="35">
        <v>39846</v>
      </c>
      <c r="V103" s="75" t="s">
        <v>37</v>
      </c>
      <c r="W103" s="75"/>
      <c r="X103" s="75"/>
      <c r="Y103" s="4"/>
      <c r="Z103" s="74" t="s">
        <v>34</v>
      </c>
      <c r="AA103" s="43">
        <v>69424.86</v>
      </c>
      <c r="AB103" s="43">
        <v>2703574.23</v>
      </c>
      <c r="AC103" s="43">
        <v>2971541.24</v>
      </c>
      <c r="AD103" s="44">
        <v>0.9098</v>
      </c>
    </row>
    <row r="104" spans="5:30" ht="12.75">
      <c r="E104" s="11"/>
      <c r="F104" s="65">
        <v>40940</v>
      </c>
      <c r="G104" s="49">
        <v>16907.39</v>
      </c>
      <c r="H104" s="49">
        <v>6442551.22</v>
      </c>
      <c r="I104" s="49">
        <v>6936397.54</v>
      </c>
      <c r="J104" s="61">
        <v>0.9288</v>
      </c>
      <c r="P104" s="65">
        <v>40211</v>
      </c>
      <c r="Q104" s="49">
        <v>34645.21</v>
      </c>
      <c r="R104" s="49">
        <v>5224713.73</v>
      </c>
      <c r="S104" s="49">
        <v>5642337.79</v>
      </c>
      <c r="T104" s="61">
        <v>0.926</v>
      </c>
      <c r="U104" s="35">
        <v>39847</v>
      </c>
      <c r="V104" s="49">
        <v>6207.22</v>
      </c>
      <c r="W104" s="49">
        <v>4307792.44</v>
      </c>
      <c r="X104" s="49">
        <v>4704348.37</v>
      </c>
      <c r="Y104" s="37">
        <v>0.9157</v>
      </c>
      <c r="Z104" s="45">
        <v>39482</v>
      </c>
      <c r="AA104" s="17">
        <v>15055.12</v>
      </c>
      <c r="AB104" s="17">
        <v>2718629.35</v>
      </c>
      <c r="AC104" s="17"/>
      <c r="AD104" s="4">
        <v>91.49</v>
      </c>
    </row>
    <row r="105" spans="5:30" ht="12.75">
      <c r="E105" s="11"/>
      <c r="F105" s="65">
        <v>40941</v>
      </c>
      <c r="G105" s="49">
        <v>37763.86</v>
      </c>
      <c r="H105" s="49">
        <v>6480315.08</v>
      </c>
      <c r="I105" s="49">
        <v>6936397.54</v>
      </c>
      <c r="J105" s="61">
        <v>0.9342</v>
      </c>
      <c r="P105" s="65">
        <v>40212</v>
      </c>
      <c r="Q105" s="49">
        <v>17901.7</v>
      </c>
      <c r="R105" s="49">
        <v>5242615.39</v>
      </c>
      <c r="S105" s="49">
        <v>5642337.79</v>
      </c>
      <c r="T105" s="61">
        <v>0.9292</v>
      </c>
      <c r="U105" s="35">
        <v>39848</v>
      </c>
      <c r="V105" s="49">
        <v>51428.54</v>
      </c>
      <c r="W105" s="49">
        <v>4359220.76</v>
      </c>
      <c r="X105" s="49">
        <v>4704348.37</v>
      </c>
      <c r="Y105" s="37">
        <v>0.9266</v>
      </c>
      <c r="Z105" s="45">
        <v>39483</v>
      </c>
      <c r="AA105" s="17">
        <v>39934.8</v>
      </c>
      <c r="AB105" s="17">
        <v>2758564.15</v>
      </c>
      <c r="AC105" s="17"/>
      <c r="AD105" s="4">
        <v>92.83</v>
      </c>
    </row>
    <row r="106" spans="5:30" ht="12.75">
      <c r="E106" s="11"/>
      <c r="F106" s="65">
        <v>40942</v>
      </c>
      <c r="G106" s="49">
        <v>48282.37</v>
      </c>
      <c r="H106" s="49">
        <v>6528597.26</v>
      </c>
      <c r="I106" s="49">
        <v>6936397.54</v>
      </c>
      <c r="J106" s="80">
        <v>0.9412</v>
      </c>
      <c r="P106" s="65">
        <v>40213</v>
      </c>
      <c r="Q106" s="49">
        <v>19888.77</v>
      </c>
      <c r="R106" s="49">
        <v>5262504.16</v>
      </c>
      <c r="S106" s="49">
        <v>5642337.79</v>
      </c>
      <c r="T106" s="80">
        <v>0.9327</v>
      </c>
      <c r="U106" s="35">
        <v>39849</v>
      </c>
      <c r="V106" s="49">
        <v>55695.69</v>
      </c>
      <c r="W106" s="49">
        <v>4414916.62</v>
      </c>
      <c r="X106" s="49">
        <v>4704348.37</v>
      </c>
      <c r="Y106" s="37">
        <v>0.9385</v>
      </c>
      <c r="Z106" s="45">
        <v>39484</v>
      </c>
      <c r="AA106" s="17">
        <v>27523.54</v>
      </c>
      <c r="AB106" s="17">
        <v>2786087.7</v>
      </c>
      <c r="AC106" s="17"/>
      <c r="AD106" s="4">
        <v>93.76</v>
      </c>
    </row>
    <row r="107" spans="5:30" ht="12.75">
      <c r="E107" s="11"/>
      <c r="F107" s="65">
        <v>40945</v>
      </c>
      <c r="G107" s="49">
        <v>16726.58</v>
      </c>
      <c r="H107" s="49">
        <v>6545323.84</v>
      </c>
      <c r="I107" s="49">
        <v>6936397.54</v>
      </c>
      <c r="J107" s="61">
        <v>0.9436</v>
      </c>
      <c r="P107" s="65">
        <v>40214</v>
      </c>
      <c r="Q107" s="49">
        <v>29514.06</v>
      </c>
      <c r="R107" s="49">
        <v>5292018.22</v>
      </c>
      <c r="S107" s="49">
        <v>5642337.79</v>
      </c>
      <c r="T107" s="61">
        <v>0.9379</v>
      </c>
      <c r="U107" s="35">
        <v>39850</v>
      </c>
      <c r="V107" s="49">
        <v>13290.35</v>
      </c>
      <c r="W107" s="49">
        <v>4428206.97</v>
      </c>
      <c r="X107" s="49">
        <v>4704348.37</v>
      </c>
      <c r="Y107" s="37">
        <v>0.9413</v>
      </c>
      <c r="Z107" s="45">
        <v>39485</v>
      </c>
      <c r="AA107" s="17">
        <v>2982.18</v>
      </c>
      <c r="AB107" s="17">
        <v>2789069.88</v>
      </c>
      <c r="AC107" s="17"/>
      <c r="AD107" s="4">
        <v>93.86</v>
      </c>
    </row>
    <row r="108" spans="5:30" ht="12.75">
      <c r="E108" s="11"/>
      <c r="F108" s="65">
        <v>40946</v>
      </c>
      <c r="G108" s="49">
        <v>21105.47</v>
      </c>
      <c r="H108" s="49">
        <v>6566429.31</v>
      </c>
      <c r="I108" s="49">
        <v>6936397.54</v>
      </c>
      <c r="J108" s="61">
        <v>0.9467</v>
      </c>
      <c r="P108" s="65">
        <v>40217</v>
      </c>
      <c r="Q108" s="49">
        <v>20156.43</v>
      </c>
      <c r="R108" s="49">
        <v>5312174.65</v>
      </c>
      <c r="S108" s="49">
        <v>5642337.79</v>
      </c>
      <c r="T108" s="61">
        <v>0.9415</v>
      </c>
      <c r="U108" s="35">
        <v>39853</v>
      </c>
      <c r="V108" s="49">
        <v>16644.05</v>
      </c>
      <c r="W108" s="49">
        <v>4444851.02</v>
      </c>
      <c r="X108" s="49">
        <v>4704348.37</v>
      </c>
      <c r="Y108" s="37">
        <v>0.9448</v>
      </c>
      <c r="Z108" s="45">
        <v>39486</v>
      </c>
      <c r="AA108" s="17">
        <v>2557.67</v>
      </c>
      <c r="AB108" s="17">
        <v>2791627.53</v>
      </c>
      <c r="AC108" s="17"/>
      <c r="AD108" s="4">
        <v>93.95</v>
      </c>
    </row>
    <row r="109" spans="5:30" ht="12.75">
      <c r="E109" s="11"/>
      <c r="F109" s="65">
        <v>40947</v>
      </c>
      <c r="G109" s="49">
        <v>92376.52</v>
      </c>
      <c r="H109" s="49">
        <v>6658805.68</v>
      </c>
      <c r="I109" s="49">
        <v>6936397.54</v>
      </c>
      <c r="J109" s="61">
        <v>0.96</v>
      </c>
      <c r="P109" s="65">
        <v>40218</v>
      </c>
      <c r="Q109" s="49">
        <v>8516.79</v>
      </c>
      <c r="R109" s="49">
        <v>5320691.51</v>
      </c>
      <c r="S109" s="49">
        <v>5642337.79</v>
      </c>
      <c r="T109" s="61">
        <v>0.943</v>
      </c>
      <c r="U109" s="35">
        <v>39854</v>
      </c>
      <c r="V109" s="49">
        <v>6503.55</v>
      </c>
      <c r="W109" s="49">
        <v>4451354.72</v>
      </c>
      <c r="X109" s="49">
        <v>4704348.37</v>
      </c>
      <c r="Y109" s="37">
        <v>0.9462</v>
      </c>
      <c r="Z109" s="45">
        <v>39489</v>
      </c>
      <c r="AA109" s="17">
        <v>1882.17</v>
      </c>
      <c r="AB109" s="17">
        <v>2793509.87</v>
      </c>
      <c r="AC109" s="17"/>
      <c r="AD109" s="4">
        <v>94.01</v>
      </c>
    </row>
    <row r="110" spans="5:30" ht="12.75">
      <c r="E110" s="11"/>
      <c r="F110" s="65">
        <v>40948</v>
      </c>
      <c r="G110" s="49">
        <v>4146.12</v>
      </c>
      <c r="H110" s="49">
        <v>6662951.8</v>
      </c>
      <c r="I110" s="49">
        <v>6936397.54</v>
      </c>
      <c r="J110" s="61">
        <v>0.9606</v>
      </c>
      <c r="P110" s="65">
        <v>40219</v>
      </c>
      <c r="Q110" s="49">
        <v>917.21</v>
      </c>
      <c r="R110" s="49">
        <v>5321608.72</v>
      </c>
      <c r="S110" s="49">
        <v>5642337.79</v>
      </c>
      <c r="T110" s="61">
        <v>0.9432</v>
      </c>
      <c r="U110" s="35">
        <v>39855</v>
      </c>
      <c r="V110" s="49">
        <v>2098.13</v>
      </c>
      <c r="W110" s="49">
        <v>4453452.56</v>
      </c>
      <c r="X110" s="49">
        <v>4704348.37</v>
      </c>
      <c r="Y110" s="37">
        <v>0.9467</v>
      </c>
      <c r="Z110" s="45">
        <v>39490</v>
      </c>
      <c r="AA110" s="17">
        <v>3314.77</v>
      </c>
      <c r="AB110" s="17">
        <v>2796824.64</v>
      </c>
      <c r="AC110" s="17"/>
      <c r="AD110" s="4">
        <v>94.12</v>
      </c>
    </row>
    <row r="111" spans="5:30" ht="12.75">
      <c r="E111" s="11"/>
      <c r="F111" s="65">
        <v>40949</v>
      </c>
      <c r="G111" s="49">
        <v>17103.63</v>
      </c>
      <c r="H111" s="49">
        <v>6680055.43</v>
      </c>
      <c r="I111" s="49">
        <v>6936397.54</v>
      </c>
      <c r="J111" s="61">
        <v>0.963</v>
      </c>
      <c r="P111" s="65">
        <v>40220</v>
      </c>
      <c r="Q111" s="49">
        <v>4961.91</v>
      </c>
      <c r="R111" s="49">
        <v>5326570.63</v>
      </c>
      <c r="S111" s="49">
        <v>5642337.79</v>
      </c>
      <c r="T111" s="61">
        <v>0.944</v>
      </c>
      <c r="U111" s="35">
        <v>39856</v>
      </c>
      <c r="V111" s="49">
        <v>1169.1</v>
      </c>
      <c r="W111" s="49">
        <v>4454621.66</v>
      </c>
      <c r="X111" s="49">
        <v>4704428.06</v>
      </c>
      <c r="Y111" s="37">
        <v>0.9469</v>
      </c>
      <c r="Z111" s="45">
        <v>39491</v>
      </c>
      <c r="AA111" s="17">
        <v>161.86</v>
      </c>
      <c r="AB111" s="17">
        <v>2796986.5</v>
      </c>
      <c r="AC111" s="17"/>
      <c r="AD111" s="4">
        <v>94.13</v>
      </c>
    </row>
    <row r="112" spans="5:30" ht="12.75">
      <c r="E112" s="11"/>
      <c r="F112" s="65">
        <v>40952</v>
      </c>
      <c r="G112" s="49">
        <v>779.88</v>
      </c>
      <c r="H112" s="49">
        <v>6680835.31</v>
      </c>
      <c r="I112" s="49">
        <v>6936397.54</v>
      </c>
      <c r="J112" s="61">
        <v>0.9632</v>
      </c>
      <c r="P112" s="65">
        <v>40221</v>
      </c>
      <c r="Q112" s="49">
        <v>3920.44</v>
      </c>
      <c r="R112" s="49">
        <v>5330491.07</v>
      </c>
      <c r="S112" s="49">
        <v>5642337.79</v>
      </c>
      <c r="T112" s="61">
        <v>0.9447</v>
      </c>
      <c r="U112" s="35">
        <v>39857</v>
      </c>
      <c r="V112" s="49">
        <v>5402.7</v>
      </c>
      <c r="W112" s="49">
        <v>4460024.36</v>
      </c>
      <c r="X112" s="49">
        <v>4704428.06</v>
      </c>
      <c r="Y112" s="37">
        <v>0.948</v>
      </c>
      <c r="Z112" s="45">
        <v>39492</v>
      </c>
      <c r="AA112" s="17">
        <v>2530.42</v>
      </c>
      <c r="AB112" s="17">
        <v>2799516.92</v>
      </c>
      <c r="AC112" s="17"/>
      <c r="AD112" s="4">
        <v>94.21</v>
      </c>
    </row>
    <row r="113" spans="5:30" ht="12.75">
      <c r="E113" s="11"/>
      <c r="F113" s="65">
        <v>40953</v>
      </c>
      <c r="G113" s="49">
        <v>789.28</v>
      </c>
      <c r="H113" s="49">
        <v>6681624.59</v>
      </c>
      <c r="I113" s="49">
        <v>6936397.54</v>
      </c>
      <c r="J113" s="61">
        <v>0.9633</v>
      </c>
      <c r="P113" s="65">
        <v>40225</v>
      </c>
      <c r="Q113" s="49">
        <v>4819.54</v>
      </c>
      <c r="R113" s="49">
        <v>5335298.84</v>
      </c>
      <c r="S113" s="49">
        <v>5642337.79</v>
      </c>
      <c r="T113" s="61">
        <v>0.9456</v>
      </c>
      <c r="U113" s="35">
        <v>39861</v>
      </c>
      <c r="V113" s="49">
        <v>1797.29</v>
      </c>
      <c r="W113" s="49">
        <v>4461821.65</v>
      </c>
      <c r="X113" s="49">
        <v>4704428.06</v>
      </c>
      <c r="Y113" s="37">
        <v>0.9484</v>
      </c>
      <c r="Z113" s="45">
        <v>39493</v>
      </c>
      <c r="AA113" s="17">
        <v>2028.19</v>
      </c>
      <c r="AB113" s="17">
        <v>2801545.11</v>
      </c>
      <c r="AC113" s="17"/>
      <c r="AD113" s="4">
        <v>94.28</v>
      </c>
    </row>
    <row r="114" spans="5:30" ht="12.75">
      <c r="E114" s="11"/>
      <c r="F114" s="65">
        <v>40954</v>
      </c>
      <c r="G114" s="49">
        <v>669.86</v>
      </c>
      <c r="H114" s="49">
        <v>6682294.45</v>
      </c>
      <c r="I114" s="49">
        <v>6936397.54</v>
      </c>
      <c r="J114" s="61">
        <v>0.9634</v>
      </c>
      <c r="P114" s="65">
        <v>40226</v>
      </c>
      <c r="Q114" s="49">
        <v>507.15</v>
      </c>
      <c r="R114" s="49">
        <v>5335805.99</v>
      </c>
      <c r="S114" s="49">
        <v>5642337.79</v>
      </c>
      <c r="T114" s="61">
        <v>0.9457</v>
      </c>
      <c r="U114" s="35">
        <v>39862</v>
      </c>
      <c r="V114" s="49">
        <v>3450.86</v>
      </c>
      <c r="W114" s="49">
        <v>4465272.51</v>
      </c>
      <c r="X114" s="49">
        <v>4704428.06</v>
      </c>
      <c r="Y114" s="37">
        <v>0.9492</v>
      </c>
      <c r="Z114" s="45">
        <v>39497</v>
      </c>
      <c r="AA114" s="17">
        <v>2173.77</v>
      </c>
      <c r="AB114" s="17">
        <v>2803718.88</v>
      </c>
      <c r="AC114" s="17"/>
      <c r="AD114" s="4">
        <v>94.35</v>
      </c>
    </row>
    <row r="115" spans="5:30" ht="12.75">
      <c r="E115" s="11"/>
      <c r="F115" s="65" t="s">
        <v>76</v>
      </c>
      <c r="G115" s="49">
        <v>32943.74</v>
      </c>
      <c r="J115" s="11"/>
      <c r="P115" s="65">
        <v>40227</v>
      </c>
      <c r="Q115" s="49">
        <v>1683</v>
      </c>
      <c r="R115" s="49">
        <v>5337488.99</v>
      </c>
      <c r="S115" s="49">
        <v>5642337.79</v>
      </c>
      <c r="T115" s="61">
        <v>0.946</v>
      </c>
      <c r="U115" s="35">
        <v>39863</v>
      </c>
      <c r="V115" s="49">
        <v>1290.01</v>
      </c>
      <c r="W115" s="49">
        <v>4466562.52</v>
      </c>
      <c r="X115" s="49">
        <v>4704428.06</v>
      </c>
      <c r="Y115" s="37">
        <v>0.9494</v>
      </c>
      <c r="Z115" s="45">
        <v>39498</v>
      </c>
      <c r="AA115" s="17">
        <v>973.56</v>
      </c>
      <c r="AB115" s="46">
        <v>2804692.44</v>
      </c>
      <c r="AC115" s="46"/>
      <c r="AD115" s="22"/>
    </row>
    <row r="116" spans="5:30" ht="12.75">
      <c r="E116" s="11"/>
      <c r="F116" s="65"/>
      <c r="G116" s="49"/>
      <c r="H116" s="49"/>
      <c r="I116" s="49"/>
      <c r="J116" s="11"/>
      <c r="P116" s="65">
        <v>40228</v>
      </c>
      <c r="Q116" s="49">
        <v>4252.72</v>
      </c>
      <c r="R116" s="49">
        <v>5341741.71</v>
      </c>
      <c r="S116" s="49">
        <v>5642337.79</v>
      </c>
      <c r="T116" s="61">
        <v>0.9467</v>
      </c>
      <c r="U116" s="35">
        <v>39864</v>
      </c>
      <c r="V116" s="49">
        <v>2569.58</v>
      </c>
      <c r="W116" s="49">
        <v>4469132.1</v>
      </c>
      <c r="X116" s="49">
        <v>4704428.06</v>
      </c>
      <c r="Y116" s="52">
        <v>0.95</v>
      </c>
      <c r="Z116" s="45">
        <v>39499</v>
      </c>
      <c r="AA116" s="17">
        <v>319.04</v>
      </c>
      <c r="AB116" s="17">
        <v>2805011.43</v>
      </c>
      <c r="AC116" s="17"/>
      <c r="AD116" s="4">
        <v>94.4</v>
      </c>
    </row>
    <row r="117" spans="5:30" ht="12.75">
      <c r="E117" s="11"/>
      <c r="F117" s="65" t="s">
        <v>54</v>
      </c>
      <c r="G117" s="49">
        <f>SUM(G104:G115)</f>
        <v>289594.7</v>
      </c>
      <c r="H117" s="49"/>
      <c r="I117" s="49"/>
      <c r="J117" s="11"/>
      <c r="P117" s="65">
        <v>40231</v>
      </c>
      <c r="Q117" s="49">
        <v>4330.82</v>
      </c>
      <c r="R117" s="49">
        <v>5346072.53</v>
      </c>
      <c r="S117" s="49">
        <v>5642337.79</v>
      </c>
      <c r="T117" s="61">
        <v>0.9475</v>
      </c>
      <c r="U117" s="35">
        <v>39867</v>
      </c>
      <c r="V117" s="49">
        <v>1669.4</v>
      </c>
      <c r="W117" s="49">
        <v>4470801.5</v>
      </c>
      <c r="X117" s="49">
        <v>4704428.06</v>
      </c>
      <c r="Y117" s="37">
        <v>0.9503</v>
      </c>
      <c r="Z117" s="45">
        <v>39500</v>
      </c>
      <c r="AA117" s="17">
        <v>1336.15</v>
      </c>
      <c r="AB117" s="17">
        <v>2806347.58</v>
      </c>
      <c r="AC117" s="17"/>
      <c r="AD117" s="4">
        <v>94.44</v>
      </c>
    </row>
    <row r="118" spans="5:30" ht="12.75">
      <c r="E118" s="11"/>
      <c r="F118" s="65" t="s">
        <v>53</v>
      </c>
      <c r="G118" s="49">
        <f>G98</f>
        <v>0</v>
      </c>
      <c r="J118" s="11"/>
      <c r="P118" s="65">
        <v>40232</v>
      </c>
      <c r="Q118" s="49">
        <v>1539.05</v>
      </c>
      <c r="R118" s="49">
        <v>5347611.58</v>
      </c>
      <c r="S118" s="49">
        <v>5642337.79</v>
      </c>
      <c r="T118" s="61">
        <v>0.9478</v>
      </c>
      <c r="U118" s="35">
        <v>39868</v>
      </c>
      <c r="V118" s="49">
        <v>3196.43</v>
      </c>
      <c r="W118" s="49">
        <v>4473997.93</v>
      </c>
      <c r="X118" s="49">
        <v>4704428.06</v>
      </c>
      <c r="Y118" s="37">
        <v>0.951</v>
      </c>
      <c r="Z118" s="45">
        <v>39503</v>
      </c>
      <c r="AA118" s="17">
        <v>3580.79</v>
      </c>
      <c r="AB118" s="17">
        <v>2809928.37</v>
      </c>
      <c r="AC118" s="17"/>
      <c r="AD118" s="4">
        <v>94.56</v>
      </c>
    </row>
    <row r="119" spans="5:30" ht="12.75">
      <c r="E119" s="11"/>
      <c r="F119" s="65" t="s">
        <v>55</v>
      </c>
      <c r="G119" s="49">
        <v>0</v>
      </c>
      <c r="J119" s="11"/>
      <c r="P119" s="65">
        <v>40233</v>
      </c>
      <c r="Q119" s="49">
        <v>4109.84</v>
      </c>
      <c r="R119" s="49">
        <v>5351721.42</v>
      </c>
      <c r="S119" s="49">
        <v>5642337.79</v>
      </c>
      <c r="T119" s="61">
        <v>0.9485</v>
      </c>
      <c r="U119" s="35">
        <v>39869</v>
      </c>
      <c r="V119" s="49">
        <v>4996.37</v>
      </c>
      <c r="W119" s="49">
        <v>4478994.3</v>
      </c>
      <c r="X119" s="49">
        <v>4704428.06</v>
      </c>
      <c r="Y119" s="37">
        <v>0.9521</v>
      </c>
      <c r="Z119" s="45">
        <v>39504</v>
      </c>
      <c r="AA119" s="17">
        <v>2361.22</v>
      </c>
      <c r="AB119" s="17">
        <v>2812289.59</v>
      </c>
      <c r="AC119" s="17"/>
      <c r="AD119" s="4">
        <v>94.64</v>
      </c>
    </row>
    <row r="120" spans="5:30" ht="12.75">
      <c r="E120" s="11"/>
      <c r="F120" s="65" t="s">
        <v>32</v>
      </c>
      <c r="G120" s="51">
        <v>0</v>
      </c>
      <c r="J120" s="11"/>
      <c r="P120" s="65">
        <v>40234</v>
      </c>
      <c r="Q120" s="49">
        <v>4792.09</v>
      </c>
      <c r="R120" s="49">
        <v>5356513.51</v>
      </c>
      <c r="S120" s="49">
        <v>5642337.79</v>
      </c>
      <c r="T120" s="61">
        <v>0.9493</v>
      </c>
      <c r="U120" s="35">
        <v>39870</v>
      </c>
      <c r="V120" s="49">
        <v>6879.09</v>
      </c>
      <c r="W120" s="49">
        <v>4485873.31</v>
      </c>
      <c r="X120" s="49">
        <v>4704428.06</v>
      </c>
      <c r="Y120" s="37">
        <v>0.9535</v>
      </c>
      <c r="Z120" s="45">
        <v>39505</v>
      </c>
      <c r="AA120" s="17">
        <v>1935.09</v>
      </c>
      <c r="AB120" s="17">
        <v>2814224.68</v>
      </c>
      <c r="AC120" s="17"/>
      <c r="AD120" s="4">
        <v>94.71</v>
      </c>
    </row>
    <row r="121" spans="5:30" ht="12.75">
      <c r="E121" s="11"/>
      <c r="F121" s="65" t="s">
        <v>36</v>
      </c>
      <c r="G121" s="49">
        <f>SUM(G117:G120)</f>
        <v>289594.7</v>
      </c>
      <c r="J121" s="11"/>
      <c r="P121" s="65">
        <v>40235</v>
      </c>
      <c r="Q121" s="49">
        <v>7523.28</v>
      </c>
      <c r="R121" s="49">
        <v>5364036.79</v>
      </c>
      <c r="S121" s="49">
        <v>5678371.33</v>
      </c>
      <c r="T121" s="61">
        <v>0.9446</v>
      </c>
      <c r="U121" s="35">
        <v>39871</v>
      </c>
      <c r="V121" s="51">
        <v>6780.84</v>
      </c>
      <c r="W121" s="49">
        <v>4492654.15</v>
      </c>
      <c r="X121" s="49">
        <v>4706842.61</v>
      </c>
      <c r="Y121" s="37">
        <v>0.9545</v>
      </c>
      <c r="Z121" s="45">
        <v>39506</v>
      </c>
      <c r="AA121" s="17">
        <v>1245.85</v>
      </c>
      <c r="AB121" s="17">
        <v>2815470.53</v>
      </c>
      <c r="AC121" s="17"/>
      <c r="AD121" s="4">
        <v>94.75</v>
      </c>
    </row>
    <row r="122" spans="5:30" ht="12.75">
      <c r="E122" s="11"/>
      <c r="F122" s="66"/>
      <c r="G122" s="49"/>
      <c r="J122" s="11"/>
      <c r="P122" s="65"/>
      <c r="Q122" s="49"/>
      <c r="R122" s="49"/>
      <c r="S122" s="49"/>
      <c r="T122" s="11"/>
      <c r="Z122" s="47">
        <v>39507</v>
      </c>
      <c r="AA122" s="20">
        <v>3650.04</v>
      </c>
      <c r="AB122" s="20">
        <v>2819120.57</v>
      </c>
      <c r="AC122" s="20"/>
      <c r="AD122" s="13">
        <v>94.87</v>
      </c>
    </row>
    <row r="123" spans="5:30" ht="12.75">
      <c r="E123" s="11"/>
      <c r="H123" s="120"/>
      <c r="I123" s="120"/>
      <c r="J123" s="11"/>
      <c r="P123" s="65" t="s">
        <v>54</v>
      </c>
      <c r="Q123" s="49">
        <f>SUM(Q104:Q121)</f>
        <v>173980.01</v>
      </c>
      <c r="R123" s="49"/>
      <c r="S123" s="49"/>
      <c r="T123" s="11"/>
      <c r="U123" t="s">
        <v>41</v>
      </c>
      <c r="V123" s="49">
        <f>SUM(V104:V121)</f>
        <v>191069.19999999998</v>
      </c>
      <c r="Z123" s="48"/>
      <c r="AA123" s="20">
        <f>SUM(AA103:AA122)</f>
        <v>184971.09000000003</v>
      </c>
      <c r="AB123" s="20"/>
      <c r="AC123" s="20"/>
      <c r="AD123" s="13"/>
    </row>
    <row r="124" spans="5:22" ht="12.75">
      <c r="E124" s="11"/>
      <c r="H124" s="120"/>
      <c r="I124" s="120"/>
      <c r="J124" s="11"/>
      <c r="P124" s="65" t="s">
        <v>53</v>
      </c>
      <c r="Q124" s="49">
        <f>Q98</f>
        <v>5190068.5200000005</v>
      </c>
      <c r="T124" s="11"/>
      <c r="U124" t="s">
        <v>38</v>
      </c>
      <c r="V124" s="51">
        <v>4301584.61</v>
      </c>
    </row>
    <row r="125" spans="5:22" ht="12.75">
      <c r="E125" s="11"/>
      <c r="J125" s="11"/>
      <c r="P125" s="65" t="s">
        <v>55</v>
      </c>
      <c r="Q125" s="49">
        <v>-11.57</v>
      </c>
      <c r="T125" s="11"/>
      <c r="U125" t="s">
        <v>39</v>
      </c>
      <c r="V125" s="49">
        <f>SUM(V123:V124)</f>
        <v>4492653.8100000005</v>
      </c>
    </row>
    <row r="126" spans="5:22" ht="12.75">
      <c r="E126" s="11"/>
      <c r="J126" s="11"/>
      <c r="P126" s="65" t="s">
        <v>32</v>
      </c>
      <c r="Q126" s="51">
        <v>-0.17</v>
      </c>
      <c r="T126" s="11"/>
      <c r="U126" t="s">
        <v>32</v>
      </c>
      <c r="V126" s="51">
        <v>0.34</v>
      </c>
    </row>
    <row r="127" spans="5:22" ht="13.5" thickBot="1">
      <c r="E127" s="11"/>
      <c r="J127" s="11"/>
      <c r="P127" s="65" t="s">
        <v>36</v>
      </c>
      <c r="Q127" s="49">
        <f>SUM(Q123:Q126)</f>
        <v>5364036.79</v>
      </c>
      <c r="T127" s="11"/>
      <c r="U127" s="69" t="s">
        <v>36</v>
      </c>
      <c r="V127" s="55">
        <f>SUM(V125:V126)</f>
        <v>4492654.15</v>
      </c>
    </row>
    <row r="128" spans="5:17" ht="13.5" thickTop="1">
      <c r="E128" s="11"/>
      <c r="J128" s="11"/>
      <c r="P128" s="66"/>
      <c r="Q128" s="49"/>
    </row>
    <row r="129" spans="16:18" ht="12.75">
      <c r="P129" s="66"/>
      <c r="R129" s="49"/>
    </row>
    <row r="130" ht="12.75">
      <c r="P130" s="66"/>
    </row>
    <row r="134" spans="12:20" ht="18.75" thickBot="1">
      <c r="L134" s="219" t="s">
        <v>57</v>
      </c>
      <c r="M134" s="219"/>
      <c r="N134" s="219"/>
      <c r="O134" s="219"/>
      <c r="Q134" s="219" t="s">
        <v>57</v>
      </c>
      <c r="R134" s="219"/>
      <c r="S134" s="219"/>
      <c r="T134" s="219"/>
    </row>
    <row r="135" spans="12:20" ht="18.75" thickBot="1">
      <c r="L135" s="129">
        <v>2010</v>
      </c>
      <c r="M135" s="89">
        <v>2009</v>
      </c>
      <c r="N135" s="99">
        <v>2008</v>
      </c>
      <c r="O135" s="99">
        <v>2007</v>
      </c>
      <c r="Q135" s="89">
        <v>2009</v>
      </c>
      <c r="R135" s="99">
        <v>2008</v>
      </c>
      <c r="S135" s="99">
        <v>2007</v>
      </c>
      <c r="T135" s="94">
        <v>2006</v>
      </c>
    </row>
    <row r="136" spans="11:20" ht="12.75">
      <c r="K136" s="105" t="s">
        <v>0</v>
      </c>
      <c r="L136" s="90">
        <f>+O5</f>
        <v>0.001</v>
      </c>
      <c r="M136" s="100">
        <f>+T5</f>
        <v>0.0094</v>
      </c>
      <c r="N136" s="100">
        <f>+Y5</f>
        <v>0.0027</v>
      </c>
      <c r="O136" s="95">
        <f>+AD5</f>
        <v>0.004084187947486185</v>
      </c>
      <c r="P136" s="105" t="s">
        <v>0</v>
      </c>
      <c r="Q136" s="90">
        <f>+T5</f>
        <v>0.0094</v>
      </c>
      <c r="R136" s="100">
        <f>+Y5</f>
        <v>0.0027</v>
      </c>
      <c r="S136" s="100">
        <f>+AD5</f>
        <v>0.004084187947486185</v>
      </c>
      <c r="T136" s="95">
        <f>+AI5</f>
        <v>0.0072671037299620956</v>
      </c>
    </row>
    <row r="137" spans="11:20" ht="12.75">
      <c r="K137" s="105" t="s">
        <v>1</v>
      </c>
      <c r="L137" s="91">
        <f aca="true" t="shared" si="7" ref="L137:L146">+O6</f>
        <v>0.0362</v>
      </c>
      <c r="M137" s="101">
        <f aca="true" t="shared" si="8" ref="M137:M147">+T6</f>
        <v>0.115</v>
      </c>
      <c r="N137" s="101">
        <f aca="true" t="shared" si="9" ref="N137:N147">+Y6</f>
        <v>0.027</v>
      </c>
      <c r="O137" s="96">
        <f aca="true" t="shared" si="10" ref="O137:O147">+AD6</f>
        <v>0.03253243608954523</v>
      </c>
      <c r="P137" s="105" t="s">
        <v>1</v>
      </c>
      <c r="Q137" s="91">
        <f aca="true" t="shared" si="11" ref="Q137:Q147">+T6</f>
        <v>0.115</v>
      </c>
      <c r="R137" s="101">
        <f aca="true" t="shared" si="12" ref="R137:R147">+Y6</f>
        <v>0.027</v>
      </c>
      <c r="S137" s="101">
        <f aca="true" t="shared" si="13" ref="S137:S147">+AD6</f>
        <v>0.03253243608954523</v>
      </c>
      <c r="T137" s="96">
        <f aca="true" t="shared" si="14" ref="T137:T147">+AI6</f>
        <v>0.03592742214457022</v>
      </c>
    </row>
    <row r="138" spans="11:20" ht="12.75">
      <c r="K138" s="105" t="s">
        <v>2</v>
      </c>
      <c r="L138" s="91">
        <f t="shared" si="7"/>
        <v>0.7308</v>
      </c>
      <c r="M138" s="101">
        <f t="shared" si="8"/>
        <v>0.732</v>
      </c>
      <c r="N138" s="101">
        <f t="shared" si="9"/>
        <v>0.7149</v>
      </c>
      <c r="O138" s="96">
        <f t="shared" si="10"/>
        <v>0.5003909002433952</v>
      </c>
      <c r="P138" s="105" t="s">
        <v>2</v>
      </c>
      <c r="Q138" s="91">
        <f t="shared" si="11"/>
        <v>0.732</v>
      </c>
      <c r="R138" s="101">
        <f t="shared" si="12"/>
        <v>0.7149</v>
      </c>
      <c r="S138" s="101">
        <f t="shared" si="13"/>
        <v>0.5003909002433952</v>
      </c>
      <c r="T138" s="96">
        <f t="shared" si="14"/>
        <v>0.3586351860979156</v>
      </c>
    </row>
    <row r="139" spans="11:20" ht="12.75">
      <c r="K139" s="105" t="s">
        <v>3</v>
      </c>
      <c r="L139" s="91">
        <f t="shared" si="7"/>
        <v>0.9043</v>
      </c>
      <c r="M139" s="101">
        <f t="shared" si="8"/>
        <v>0.9198</v>
      </c>
      <c r="N139" s="101">
        <f t="shared" si="9"/>
        <v>0.9144</v>
      </c>
      <c r="O139" s="96">
        <f t="shared" si="10"/>
        <v>0.8864589643050015</v>
      </c>
      <c r="P139" s="105" t="s">
        <v>3</v>
      </c>
      <c r="Q139" s="91">
        <f t="shared" si="11"/>
        <v>0.9198</v>
      </c>
      <c r="R139" s="101">
        <f t="shared" si="12"/>
        <v>0.9144</v>
      </c>
      <c r="S139" s="101">
        <f t="shared" si="13"/>
        <v>0.8864589643050015</v>
      </c>
      <c r="T139" s="96">
        <f t="shared" si="14"/>
        <v>0.8464607237703635</v>
      </c>
    </row>
    <row r="140" spans="11:20" ht="12.75">
      <c r="K140" s="105" t="s">
        <v>4</v>
      </c>
      <c r="L140" s="92">
        <f>+O9</f>
        <v>0.968</v>
      </c>
      <c r="M140" s="102">
        <f t="shared" si="8"/>
        <v>0.9446</v>
      </c>
      <c r="N140" s="102">
        <f t="shared" si="9"/>
        <v>0.9545</v>
      </c>
      <c r="O140" s="97">
        <f t="shared" si="10"/>
        <v>0.948706527121932</v>
      </c>
      <c r="P140" s="105" t="s">
        <v>4</v>
      </c>
      <c r="Q140" s="92">
        <f t="shared" si="11"/>
        <v>0.9446</v>
      </c>
      <c r="R140" s="102">
        <f t="shared" si="12"/>
        <v>0.9545</v>
      </c>
      <c r="S140" s="102">
        <f t="shared" si="13"/>
        <v>0.948706527121932</v>
      </c>
      <c r="T140" s="97">
        <f t="shared" si="14"/>
        <v>0.9363589929031602</v>
      </c>
    </row>
    <row r="141" spans="11:20" ht="12.75">
      <c r="K141" s="105" t="s">
        <v>5</v>
      </c>
      <c r="L141" s="91">
        <f>+O10</f>
        <v>0.9767</v>
      </c>
      <c r="M141" s="101">
        <f t="shared" si="8"/>
        <v>0.9585</v>
      </c>
      <c r="N141" s="101">
        <f t="shared" si="9"/>
        <v>0.9625</v>
      </c>
      <c r="O141" s="96">
        <f t="shared" si="10"/>
        <v>0.9585353183196754</v>
      </c>
      <c r="P141" s="105" t="s">
        <v>5</v>
      </c>
      <c r="Q141" s="91">
        <f t="shared" si="11"/>
        <v>0.9585</v>
      </c>
      <c r="R141" s="101">
        <f t="shared" si="12"/>
        <v>0.9625</v>
      </c>
      <c r="S141" s="101">
        <f t="shared" si="13"/>
        <v>0.9585353183196754</v>
      </c>
      <c r="T141" s="96">
        <f t="shared" si="14"/>
        <v>0.9470786022293676</v>
      </c>
    </row>
    <row r="142" spans="11:20" ht="12.75">
      <c r="K142" s="105" t="s">
        <v>6</v>
      </c>
      <c r="L142" s="91">
        <f>+O11</f>
        <v>0.9812</v>
      </c>
      <c r="M142" s="101">
        <f t="shared" si="8"/>
        <v>0.9619</v>
      </c>
      <c r="N142" s="101">
        <f t="shared" si="9"/>
        <v>0.9672</v>
      </c>
      <c r="O142" s="96">
        <f t="shared" si="10"/>
        <v>0.963858538340446</v>
      </c>
      <c r="P142" s="105" t="s">
        <v>6</v>
      </c>
      <c r="Q142" s="91">
        <f t="shared" si="11"/>
        <v>0.9619</v>
      </c>
      <c r="R142" s="101">
        <f t="shared" si="12"/>
        <v>0.9672</v>
      </c>
      <c r="S142" s="101">
        <f t="shared" si="13"/>
        <v>0.963858538340446</v>
      </c>
      <c r="T142" s="96">
        <f t="shared" si="14"/>
        <v>0.9529003347955975</v>
      </c>
    </row>
    <row r="143" spans="11:20" ht="12.75">
      <c r="K143" s="105" t="s">
        <v>7</v>
      </c>
      <c r="L143" s="91">
        <f>+O12</f>
        <v>0.9842</v>
      </c>
      <c r="M143" s="101">
        <f t="shared" si="8"/>
        <v>0.9696</v>
      </c>
      <c r="N143" s="101">
        <f t="shared" si="9"/>
        <v>0.9736</v>
      </c>
      <c r="O143" s="96">
        <f t="shared" si="10"/>
        <v>0.9700853732963685</v>
      </c>
      <c r="P143" s="105" t="s">
        <v>7</v>
      </c>
      <c r="Q143" s="91">
        <f t="shared" si="11"/>
        <v>0.9696</v>
      </c>
      <c r="R143" s="101">
        <f t="shared" si="12"/>
        <v>0.9736</v>
      </c>
      <c r="S143" s="101">
        <f t="shared" si="13"/>
        <v>0.9700853732963685</v>
      </c>
      <c r="T143" s="96">
        <f t="shared" si="14"/>
        <v>0.9581727818593401</v>
      </c>
    </row>
    <row r="144" spans="11:20" ht="12.75">
      <c r="K144" s="105" t="s">
        <v>8</v>
      </c>
      <c r="L144" s="91">
        <f t="shared" si="7"/>
        <v>0.9872</v>
      </c>
      <c r="M144" s="101">
        <f t="shared" si="8"/>
        <v>0.9748</v>
      </c>
      <c r="N144" s="101">
        <f t="shared" si="9"/>
        <v>0.9789</v>
      </c>
      <c r="O144" s="96">
        <f t="shared" si="10"/>
        <v>0.9761920149660189</v>
      </c>
      <c r="P144" s="105" t="s">
        <v>8</v>
      </c>
      <c r="Q144" s="91">
        <f t="shared" si="11"/>
        <v>0.9748</v>
      </c>
      <c r="R144" s="101">
        <f t="shared" si="12"/>
        <v>0.9789</v>
      </c>
      <c r="S144" s="101">
        <f t="shared" si="13"/>
        <v>0.9761920149660189</v>
      </c>
      <c r="T144" s="96">
        <f t="shared" si="14"/>
        <v>0.9687711838247995</v>
      </c>
    </row>
    <row r="145" spans="11:20" ht="12.75">
      <c r="K145" s="105" t="s">
        <v>9</v>
      </c>
      <c r="L145" s="91">
        <f t="shared" si="7"/>
        <v>0.9891</v>
      </c>
      <c r="M145" s="101">
        <f t="shared" si="8"/>
        <v>0.9773</v>
      </c>
      <c r="N145" s="101">
        <f t="shared" si="9"/>
        <v>0.9845</v>
      </c>
      <c r="O145" s="96">
        <f t="shared" si="10"/>
        <v>0.9801079962827244</v>
      </c>
      <c r="P145" s="105" t="s">
        <v>9</v>
      </c>
      <c r="Q145" s="91">
        <f t="shared" si="11"/>
        <v>0.9773</v>
      </c>
      <c r="R145" s="101">
        <f t="shared" si="12"/>
        <v>0.9845</v>
      </c>
      <c r="S145" s="101">
        <f t="shared" si="13"/>
        <v>0.9801079962827244</v>
      </c>
      <c r="T145" s="96">
        <f t="shared" si="14"/>
        <v>0.9732915239988439</v>
      </c>
    </row>
    <row r="146" spans="11:20" ht="12.75">
      <c r="K146" s="105" t="s">
        <v>10</v>
      </c>
      <c r="L146" s="91">
        <f t="shared" si="7"/>
        <v>0.9901</v>
      </c>
      <c r="M146" s="101">
        <f t="shared" si="8"/>
        <v>0.9786</v>
      </c>
      <c r="N146" s="101">
        <f t="shared" si="9"/>
        <v>0.9886</v>
      </c>
      <c r="O146" s="96">
        <f t="shared" si="10"/>
        <v>0.983722823252985</v>
      </c>
      <c r="P146" s="105" t="s">
        <v>10</v>
      </c>
      <c r="Q146" s="91">
        <f t="shared" si="11"/>
        <v>0.9786</v>
      </c>
      <c r="R146" s="101">
        <f t="shared" si="12"/>
        <v>0.9886</v>
      </c>
      <c r="S146" s="101">
        <f t="shared" si="13"/>
        <v>0.983722823252985</v>
      </c>
      <c r="T146" s="96">
        <f t="shared" si="14"/>
        <v>0.9783149133965712</v>
      </c>
    </row>
    <row r="147" spans="11:20" ht="13.5" thickBot="1">
      <c r="K147" s="105" t="s">
        <v>11</v>
      </c>
      <c r="L147" s="93">
        <f>+O16</f>
        <v>0.9907</v>
      </c>
      <c r="M147" s="103">
        <f t="shared" si="8"/>
        <v>0.9901</v>
      </c>
      <c r="N147" s="103">
        <f t="shared" si="9"/>
        <v>0.99</v>
      </c>
      <c r="O147" s="98">
        <f t="shared" si="10"/>
        <v>0.9879784079288029</v>
      </c>
      <c r="P147" s="105" t="s">
        <v>11</v>
      </c>
      <c r="Q147" s="93">
        <f t="shared" si="11"/>
        <v>0.9901</v>
      </c>
      <c r="R147" s="103">
        <f t="shared" si="12"/>
        <v>0.99</v>
      </c>
      <c r="S147" s="103">
        <f t="shared" si="13"/>
        <v>0.9879784079288029</v>
      </c>
      <c r="T147" s="98">
        <f t="shared" si="14"/>
        <v>0.9844310699028123</v>
      </c>
    </row>
    <row r="148" ht="12.75">
      <c r="O148"/>
    </row>
    <row r="150" spans="1:8" ht="12.75">
      <c r="A150" s="176" t="s">
        <v>114</v>
      </c>
      <c r="B150" s="160"/>
      <c r="C150" s="160"/>
      <c r="D150" s="160"/>
      <c r="E150" s="160"/>
      <c r="F150" s="160"/>
      <c r="G150" s="160"/>
      <c r="H150" s="160"/>
    </row>
  </sheetData>
  <sheetProtection/>
  <mergeCells count="39">
    <mergeCell ref="AA100:AD100"/>
    <mergeCell ref="P1:T1"/>
    <mergeCell ref="K1:O1"/>
    <mergeCell ref="A1:E1"/>
    <mergeCell ref="F1:J1"/>
    <mergeCell ref="Z1:AD1"/>
    <mergeCell ref="A40:E40"/>
    <mergeCell ref="Z70:AD70"/>
    <mergeCell ref="K40:O40"/>
    <mergeCell ref="A70:E70"/>
    <mergeCell ref="F70:J70"/>
    <mergeCell ref="AZ2:BD2"/>
    <mergeCell ref="AK37:AO39"/>
    <mergeCell ref="F40:J40"/>
    <mergeCell ref="U2:Y2"/>
    <mergeCell ref="AP2:AT2"/>
    <mergeCell ref="A2:E2"/>
    <mergeCell ref="K70:O70"/>
    <mergeCell ref="AE2:AI2"/>
    <mergeCell ref="Z2:AD2"/>
    <mergeCell ref="P2:T2"/>
    <mergeCell ref="AU1:AY1"/>
    <mergeCell ref="U1:Y1"/>
    <mergeCell ref="AE1:AI1"/>
    <mergeCell ref="AJ1:AO1"/>
    <mergeCell ref="AZ1:BD1"/>
    <mergeCell ref="AU2:AY2"/>
    <mergeCell ref="AP1:AT1"/>
    <mergeCell ref="AJ2:AO2"/>
    <mergeCell ref="L134:O134"/>
    <mergeCell ref="K2:O2"/>
    <mergeCell ref="V100:Y100"/>
    <mergeCell ref="F2:J2"/>
    <mergeCell ref="Q134:T134"/>
    <mergeCell ref="F100:J100"/>
    <mergeCell ref="P100:T100"/>
    <mergeCell ref="P70:T70"/>
    <mergeCell ref="U70:Y70"/>
    <mergeCell ref="P40:T40"/>
  </mergeCells>
  <printOptions/>
  <pageMargins left="0.25" right="0.25" top="1" bottom="1" header="0.5" footer="0.5"/>
  <pageSetup horizontalDpi="600" verticalDpi="600" orientation="landscape" scale="71" r:id="rId1"/>
  <rowBreaks count="4" manualBreakCount="4">
    <brk id="39" max="34" man="1"/>
    <brk id="68" max="34" man="1"/>
    <brk id="98" max="34" man="1"/>
    <brk id="132" max="34" man="1"/>
  </rowBreaks>
  <colBreaks count="3" manualBreakCount="3">
    <brk id="15" max="65535" man="1"/>
    <brk id="30" max="65535" man="1"/>
    <brk id="4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A18" sqref="A18"/>
    </sheetView>
  </sheetViews>
  <sheetFormatPr defaultColWidth="9.140625" defaultRowHeight="12.75"/>
  <cols>
    <col min="1" max="1" width="11.57421875" style="1" customWidth="1"/>
    <col min="2" max="2" width="9.00390625" style="1" customWidth="1"/>
    <col min="3" max="4" width="20.8515625" style="0" customWidth="1"/>
    <col min="5" max="5" width="13.140625" style="0" customWidth="1"/>
    <col min="6" max="6" width="12.00390625" style="0" customWidth="1"/>
  </cols>
  <sheetData>
    <row r="1" spans="1:7" ht="12.75">
      <c r="A1" s="240" t="s">
        <v>72</v>
      </c>
      <c r="B1" s="240"/>
      <c r="C1" s="240"/>
      <c r="D1" s="240"/>
      <c r="E1" s="240"/>
      <c r="F1" s="56"/>
      <c r="G1" s="56"/>
    </row>
    <row r="2" spans="1:7" ht="12.75">
      <c r="A2" s="240" t="s">
        <v>78</v>
      </c>
      <c r="B2" s="240"/>
      <c r="C2" s="240"/>
      <c r="D2" s="240"/>
      <c r="E2" s="240"/>
      <c r="F2" s="56"/>
      <c r="G2" s="56"/>
    </row>
    <row r="3" spans="1:7" ht="12.75">
      <c r="A3" s="26"/>
      <c r="B3" s="26"/>
      <c r="C3" s="26"/>
      <c r="D3" s="26"/>
      <c r="E3" s="26"/>
      <c r="F3" s="56"/>
      <c r="G3" s="56"/>
    </row>
    <row r="4" spans="1:8" ht="38.25">
      <c r="A4" s="138" t="s">
        <v>74</v>
      </c>
      <c r="B4" s="138" t="s">
        <v>75</v>
      </c>
      <c r="C4" s="175" t="s">
        <v>105</v>
      </c>
      <c r="D4" s="138" t="s">
        <v>71</v>
      </c>
      <c r="E4" s="138" t="s">
        <v>70</v>
      </c>
      <c r="F4" s="57"/>
      <c r="G4" s="57"/>
      <c r="H4" s="16"/>
    </row>
    <row r="5" spans="1:8" ht="12.75">
      <c r="A5" s="142">
        <v>2001</v>
      </c>
      <c r="B5" s="142">
        <v>2002</v>
      </c>
      <c r="C5" s="141">
        <v>197731140</v>
      </c>
      <c r="D5" s="140">
        <v>38012328</v>
      </c>
      <c r="E5" s="144">
        <v>0.4205</v>
      </c>
      <c r="F5" s="16"/>
      <c r="G5" s="16"/>
      <c r="H5" s="16"/>
    </row>
    <row r="6" spans="1:8" ht="12.75">
      <c r="A6" s="143">
        <v>2002</v>
      </c>
      <c r="B6" s="143">
        <v>2003</v>
      </c>
      <c r="C6" s="120">
        <v>302612947</v>
      </c>
      <c r="D6" s="141">
        <f>C6-C5</f>
        <v>104881807</v>
      </c>
      <c r="E6" s="139">
        <f>D6/C5</f>
        <v>0.5304263506496751</v>
      </c>
      <c r="F6" s="17"/>
      <c r="G6" s="32"/>
      <c r="H6" s="16"/>
    </row>
    <row r="7" spans="1:8" ht="12.75">
      <c r="A7" s="143">
        <v>2003</v>
      </c>
      <c r="B7" s="143">
        <v>2004</v>
      </c>
      <c r="C7" s="141">
        <v>437415914</v>
      </c>
      <c r="D7" s="141">
        <f>C7-C6</f>
        <v>134802967</v>
      </c>
      <c r="E7" s="139">
        <f>D7/C6</f>
        <v>0.44546331654474786</v>
      </c>
      <c r="F7" s="17"/>
      <c r="G7" s="32"/>
      <c r="H7" s="16"/>
    </row>
    <row r="8" spans="1:8" ht="12.75">
      <c r="A8" s="143">
        <v>2004</v>
      </c>
      <c r="B8" s="143">
        <v>2005</v>
      </c>
      <c r="C8" s="141">
        <v>604487640</v>
      </c>
      <c r="D8" s="141">
        <f aca="true" t="shared" si="0" ref="D8:D14">C8-C7</f>
        <v>167071726</v>
      </c>
      <c r="E8" s="139">
        <f aca="true" t="shared" si="1" ref="E8:E14">D8/C7</f>
        <v>0.38195164065292786</v>
      </c>
      <c r="F8" s="17"/>
      <c r="G8" s="32"/>
      <c r="H8" s="16"/>
    </row>
    <row r="9" spans="1:8" ht="12.75">
      <c r="A9" s="143">
        <v>2005</v>
      </c>
      <c r="B9" s="143">
        <v>2006</v>
      </c>
      <c r="C9" s="141">
        <v>782254681</v>
      </c>
      <c r="D9" s="141">
        <f t="shared" si="0"/>
        <v>177767041</v>
      </c>
      <c r="E9" s="139">
        <f t="shared" si="1"/>
        <v>0.2940788681800012</v>
      </c>
      <c r="F9" s="17"/>
      <c r="G9" s="32"/>
      <c r="H9" s="16"/>
    </row>
    <row r="10" spans="1:8" ht="12.75">
      <c r="A10" s="143">
        <v>2006</v>
      </c>
      <c r="B10" s="143">
        <v>2007</v>
      </c>
      <c r="C10" s="141">
        <v>926776344</v>
      </c>
      <c r="D10" s="141">
        <f t="shared" si="0"/>
        <v>144521663</v>
      </c>
      <c r="E10" s="139">
        <f t="shared" si="1"/>
        <v>0.1847501414951584</v>
      </c>
      <c r="F10" s="17"/>
      <c r="G10" s="32"/>
      <c r="H10" s="16"/>
    </row>
    <row r="11" spans="1:8" ht="12.75">
      <c r="A11" s="143">
        <v>2007</v>
      </c>
      <c r="B11" s="143">
        <v>2008</v>
      </c>
      <c r="C11" s="141">
        <v>1101701309</v>
      </c>
      <c r="D11" s="141">
        <f t="shared" si="0"/>
        <v>174924965</v>
      </c>
      <c r="E11" s="139">
        <f t="shared" si="1"/>
        <v>0.1887456085089716</v>
      </c>
      <c r="F11" s="17"/>
      <c r="G11" s="32"/>
      <c r="H11" s="16"/>
    </row>
    <row r="12" spans="1:8" ht="12.75">
      <c r="A12" s="143">
        <v>2008</v>
      </c>
      <c r="B12" s="143">
        <v>2009</v>
      </c>
      <c r="C12" s="141">
        <v>1256815643</v>
      </c>
      <c r="D12" s="141">
        <f t="shared" si="0"/>
        <v>155114334</v>
      </c>
      <c r="E12" s="139">
        <f t="shared" si="1"/>
        <v>0.14079527067168077</v>
      </c>
      <c r="F12" s="17"/>
      <c r="G12" s="32"/>
      <c r="H12" s="16"/>
    </row>
    <row r="13" spans="1:8" ht="12.75">
      <c r="A13" s="143">
        <v>2009</v>
      </c>
      <c r="B13" s="143">
        <v>2010</v>
      </c>
      <c r="C13" s="141">
        <v>1325830993</v>
      </c>
      <c r="D13" s="141">
        <f t="shared" si="0"/>
        <v>69015350</v>
      </c>
      <c r="E13" s="139">
        <f t="shared" si="1"/>
        <v>0.0549128668030113</v>
      </c>
      <c r="F13" s="17"/>
      <c r="G13" s="32"/>
      <c r="H13" s="16"/>
    </row>
    <row r="14" spans="1:8" ht="12.75">
      <c r="A14" s="143">
        <v>2010</v>
      </c>
      <c r="B14" s="143">
        <v>2011</v>
      </c>
      <c r="C14" s="141">
        <v>1384572929</v>
      </c>
      <c r="D14" s="141">
        <f t="shared" si="0"/>
        <v>58741936</v>
      </c>
      <c r="E14" s="139">
        <f t="shared" si="1"/>
        <v>0.044305749609218854</v>
      </c>
      <c r="F14" s="17"/>
      <c r="G14" s="32"/>
      <c r="H14" s="16"/>
    </row>
    <row r="15" spans="1:8" ht="12.75">
      <c r="A15" s="143">
        <v>2011</v>
      </c>
      <c r="B15" s="143">
        <v>2012</v>
      </c>
      <c r="C15" s="141">
        <v>1427789816</v>
      </c>
      <c r="D15" s="141">
        <f>C15-C14</f>
        <v>43216887</v>
      </c>
      <c r="E15" s="139">
        <f>D15/C14</f>
        <v>0.031213153236509653</v>
      </c>
      <c r="F15" s="17"/>
      <c r="G15" s="32"/>
      <c r="H15" s="16"/>
    </row>
    <row r="16" spans="1:8" ht="12.75">
      <c r="A16" s="212">
        <v>2012</v>
      </c>
      <c r="B16" s="143">
        <v>2013</v>
      </c>
      <c r="C16" s="141">
        <v>1460041460</v>
      </c>
      <c r="D16" s="141">
        <f>C16-C15</f>
        <v>32251644</v>
      </c>
      <c r="E16" s="139">
        <f>D16/C15</f>
        <v>0.022588509624164456</v>
      </c>
      <c r="F16" s="17"/>
      <c r="G16" s="32"/>
      <c r="H16" s="16"/>
    </row>
    <row r="17" spans="1:8" ht="12.75">
      <c r="A17" s="4">
        <v>2013</v>
      </c>
      <c r="B17" s="15">
        <v>2014</v>
      </c>
      <c r="C17" s="213">
        <v>1534066208</v>
      </c>
      <c r="D17" s="141">
        <f>C17-C16</f>
        <v>74024748</v>
      </c>
      <c r="E17" s="139">
        <f>D17/C16</f>
        <v>0.0507004424381209</v>
      </c>
      <c r="F17" s="17"/>
      <c r="G17" s="32"/>
      <c r="H17" s="16"/>
    </row>
    <row r="18" spans="1:8" ht="12.75">
      <c r="A18" s="137"/>
      <c r="B18" s="137"/>
      <c r="C18" s="123"/>
      <c r="D18" s="123"/>
      <c r="E18" s="17"/>
      <c r="F18" s="17"/>
      <c r="G18" s="26"/>
      <c r="H18" s="16"/>
    </row>
    <row r="19" spans="1:8" ht="12.75">
      <c r="A19" s="137"/>
      <c r="B19" s="137"/>
      <c r="C19" s="10"/>
      <c r="D19" s="10"/>
      <c r="E19" s="17"/>
      <c r="F19" s="17"/>
      <c r="G19" s="26"/>
      <c r="H19" s="16"/>
    </row>
    <row r="20" spans="1:8" ht="12.75">
      <c r="A20" s="136"/>
      <c r="B20" s="136"/>
      <c r="E20" s="16"/>
      <c r="F20" s="16"/>
      <c r="G20" s="16"/>
      <c r="H20" s="16"/>
    </row>
    <row r="21" spans="1:8" ht="12.75">
      <c r="A21" s="136"/>
      <c r="B21" s="136"/>
      <c r="E21" s="16"/>
      <c r="F21" s="16"/>
      <c r="G21" s="16"/>
      <c r="H21" s="16"/>
    </row>
    <row r="22" spans="1:5" ht="12.75">
      <c r="A22" s="136"/>
      <c r="B22" s="136"/>
      <c r="E22" s="16"/>
    </row>
    <row r="23" spans="1:5" ht="12.75">
      <c r="A23" s="136"/>
      <c r="B23" s="136"/>
      <c r="E23" s="16"/>
    </row>
    <row r="24" spans="1:5" ht="12.75">
      <c r="A24" s="136"/>
      <c r="B24" s="136"/>
      <c r="E24" s="16"/>
    </row>
    <row r="25" spans="1:2" ht="12.75">
      <c r="A25" s="135"/>
      <c r="B25" s="135"/>
    </row>
  </sheetData>
  <sheetProtection/>
  <mergeCells count="2">
    <mergeCell ref="A1:E1"/>
    <mergeCell ref="A2:E2"/>
  </mergeCells>
  <printOptions/>
  <pageMargins left="1.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"/>
  <sheetViews>
    <sheetView zoomScalePageLayoutView="0" workbookViewId="0" topLeftCell="A1">
      <selection activeCell="B20" sqref="B20"/>
    </sheetView>
  </sheetViews>
  <sheetFormatPr defaultColWidth="9.140625" defaultRowHeight="12.75"/>
  <cols>
    <col min="1" max="1" width="17.140625" style="0" customWidth="1"/>
    <col min="2" max="2" width="16.00390625" style="0" customWidth="1"/>
    <col min="3" max="3" width="17.140625" style="0" customWidth="1"/>
    <col min="5" max="5" width="18.00390625" style="0" customWidth="1"/>
  </cols>
  <sheetData>
    <row r="1" spans="1:5" ht="25.5" customHeight="1">
      <c r="A1" s="166" t="s">
        <v>95</v>
      </c>
      <c r="B1" s="166" t="s">
        <v>96</v>
      </c>
      <c r="C1" s="166" t="s">
        <v>97</v>
      </c>
      <c r="D1" s="166" t="s">
        <v>98</v>
      </c>
      <c r="E1" s="167" t="s">
        <v>99</v>
      </c>
    </row>
    <row r="2" spans="1:5" ht="12.75">
      <c r="A2" s="1">
        <v>2012</v>
      </c>
      <c r="B2" s="165">
        <v>956444411</v>
      </c>
      <c r="C2" s="165">
        <v>700956864</v>
      </c>
      <c r="D2" s="165">
        <v>0</v>
      </c>
      <c r="E2" s="165">
        <f>SUM(B2:D2)</f>
        <v>1657401275</v>
      </c>
    </row>
    <row r="3" spans="1:5" ht="12.75">
      <c r="A3" s="1">
        <v>2011</v>
      </c>
      <c r="B3" s="165">
        <v>964523231</v>
      </c>
      <c r="C3" s="165">
        <v>676411202</v>
      </c>
      <c r="D3" s="165">
        <v>0</v>
      </c>
      <c r="E3" s="165">
        <f>SUM(B3:D3)</f>
        <v>1640934433</v>
      </c>
    </row>
    <row r="4" spans="1:5" ht="12.75">
      <c r="A4" s="1">
        <v>2010</v>
      </c>
      <c r="B4" s="165">
        <v>927954391</v>
      </c>
      <c r="C4" s="165">
        <v>615266498</v>
      </c>
      <c r="D4" s="165">
        <v>0</v>
      </c>
      <c r="E4" s="165">
        <f>SUM(B4:D4)</f>
        <v>1543220889</v>
      </c>
    </row>
    <row r="5" spans="1:5" ht="12.75">
      <c r="A5" s="1">
        <v>2009</v>
      </c>
      <c r="B5" s="165">
        <v>933536433</v>
      </c>
      <c r="C5" s="165">
        <v>530415755</v>
      </c>
      <c r="D5" s="165">
        <v>0</v>
      </c>
      <c r="E5" s="165">
        <f>SUM(B5:D5)</f>
        <v>1463952188</v>
      </c>
    </row>
    <row r="6" spans="1:5" ht="12.75">
      <c r="A6" s="1">
        <v>2008</v>
      </c>
      <c r="B6" s="165">
        <v>846802892</v>
      </c>
      <c r="C6" s="165">
        <v>467385544</v>
      </c>
      <c r="D6" s="165">
        <v>0</v>
      </c>
      <c r="E6" s="165">
        <f>SUM(B6:D6)</f>
        <v>1314188436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9.57421875" style="0" customWidth="1"/>
    <col min="2" max="2" width="19.28125" style="0" customWidth="1"/>
    <col min="3" max="3" width="12.421875" style="0" customWidth="1"/>
    <col min="4" max="4" width="18.140625" style="0" customWidth="1"/>
  </cols>
  <sheetData>
    <row r="1" ht="15">
      <c r="A1" s="206" t="s">
        <v>116</v>
      </c>
    </row>
    <row r="3" spans="1:4" s="205" customFormat="1" ht="54.75" customHeight="1">
      <c r="A3" s="207" t="s">
        <v>117</v>
      </c>
      <c r="B3" s="207" t="s">
        <v>121</v>
      </c>
      <c r="C3" s="207" t="s">
        <v>118</v>
      </c>
      <c r="D3" s="207" t="s">
        <v>119</v>
      </c>
    </row>
    <row r="4" spans="1:4" ht="12.75">
      <c r="A4" s="1"/>
      <c r="B4" s="1"/>
      <c r="C4" s="1"/>
      <c r="D4" s="1"/>
    </row>
    <row r="5" spans="1:4" ht="12.75">
      <c r="A5" s="1">
        <v>2009</v>
      </c>
      <c r="B5" s="208">
        <v>1256815643</v>
      </c>
      <c r="C5" s="1">
        <v>0.3749</v>
      </c>
      <c r="D5" s="208">
        <f>B5*C5/100</f>
        <v>4711801.845607</v>
      </c>
    </row>
    <row r="6" spans="1:4" ht="12.75">
      <c r="A6" s="1">
        <v>2010</v>
      </c>
      <c r="B6" s="208">
        <v>1325830993</v>
      </c>
      <c r="C6" s="1">
        <v>0.4181</v>
      </c>
      <c r="D6" s="208">
        <f>B6*C6/100</f>
        <v>5543299.381733</v>
      </c>
    </row>
    <row r="7" spans="1:4" ht="12.75">
      <c r="A7" s="1">
        <v>2011</v>
      </c>
      <c r="B7" s="208">
        <v>1384572929</v>
      </c>
      <c r="C7" s="1">
        <v>0.4248</v>
      </c>
      <c r="D7" s="208">
        <f>B7*C7/100</f>
        <v>5881665.802392</v>
      </c>
    </row>
    <row r="8" spans="1:4" ht="12.75">
      <c r="A8" s="1">
        <v>2012</v>
      </c>
      <c r="B8" s="208">
        <v>1427789816</v>
      </c>
      <c r="C8" s="1">
        <v>0.4251</v>
      </c>
      <c r="D8" s="208">
        <f>B8*C8/100</f>
        <v>6069534.507816</v>
      </c>
    </row>
    <row r="9" spans="1:4" ht="12.75">
      <c r="A9" s="1">
        <v>2013</v>
      </c>
      <c r="B9" s="208">
        <v>1460041460</v>
      </c>
      <c r="C9" s="1">
        <v>0.4252</v>
      </c>
      <c r="D9" s="210">
        <f>B9*C9/100</f>
        <v>6208096.287920001</v>
      </c>
    </row>
    <row r="10" spans="1:4" ht="12.75">
      <c r="A10" s="1"/>
      <c r="B10" s="1"/>
      <c r="C10" s="1"/>
      <c r="D10" s="1"/>
    </row>
    <row r="11" spans="1:4" ht="12.75">
      <c r="A11" s="1"/>
      <c r="B11" s="1"/>
      <c r="C11" s="1"/>
      <c r="D11" s="1"/>
    </row>
    <row r="12" spans="1:4" ht="13.5" thickBot="1">
      <c r="A12" s="209" t="s">
        <v>120</v>
      </c>
      <c r="B12" s="1"/>
      <c r="C12" s="1"/>
      <c r="D12" s="211">
        <f>SUM(D5:D11)</f>
        <v>28414397.825468004</v>
      </c>
    </row>
    <row r="13" spans="1:4" ht="13.5" thickTop="1">
      <c r="A13" s="1"/>
      <c r="B13" s="1"/>
      <c r="C13" s="1"/>
      <c r="D13" s="1"/>
    </row>
    <row r="14" spans="1:4" ht="12.75">
      <c r="A14" s="1"/>
      <c r="B14" s="1"/>
      <c r="C14" s="1"/>
      <c r="D14" s="1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7"/>
  <sheetViews>
    <sheetView zoomScalePageLayoutView="0" workbookViewId="0" topLeftCell="A1">
      <selection activeCell="B15" sqref="B15"/>
    </sheetView>
  </sheetViews>
  <sheetFormatPr defaultColWidth="9.140625" defaultRowHeight="12.75"/>
  <cols>
    <col min="1" max="1" width="15.8515625" style="0" customWidth="1"/>
    <col min="2" max="2" width="19.28125" style="0" customWidth="1"/>
  </cols>
  <sheetData>
    <row r="1" spans="1:2" ht="43.5" customHeight="1">
      <c r="A1" s="241" t="s">
        <v>124</v>
      </c>
      <c r="B1" s="241"/>
    </row>
    <row r="3" spans="1:2" ht="12.75">
      <c r="A3" s="215" t="s">
        <v>122</v>
      </c>
      <c r="B3" s="215" t="s">
        <v>123</v>
      </c>
    </row>
    <row r="4" spans="1:2" ht="12.75">
      <c r="A4" s="1">
        <v>2003</v>
      </c>
      <c r="B4" s="37">
        <f>'2003-2013'!BD34</f>
        <v>0.9981275306150382</v>
      </c>
    </row>
    <row r="5" spans="1:2" ht="12.75">
      <c r="A5" s="1">
        <v>2004</v>
      </c>
      <c r="B5" s="37">
        <f>'2003-2013'!AY34</f>
        <v>0.9971290849086487</v>
      </c>
    </row>
    <row r="6" spans="1:2" ht="12.75">
      <c r="A6" s="1">
        <v>2005</v>
      </c>
      <c r="B6" s="37">
        <f>'2003-2013'!AT34</f>
        <v>0.9957615874242524</v>
      </c>
    </row>
    <row r="7" spans="1:2" ht="12.75">
      <c r="A7" s="1">
        <v>2006</v>
      </c>
      <c r="B7" s="37">
        <f>'2003-2013'!AO34</f>
        <v>0.9990823743842379</v>
      </c>
    </row>
    <row r="8" spans="1:2" ht="12.75">
      <c r="A8" s="1">
        <v>2007</v>
      </c>
      <c r="B8" s="37">
        <f>'2003-2013'!AI34</f>
        <v>0.9991391275737708</v>
      </c>
    </row>
    <row r="9" spans="1:2" ht="12.75">
      <c r="A9" s="1">
        <v>2008</v>
      </c>
      <c r="B9" s="37">
        <f>'2003-2013'!AD34</f>
        <v>0.9988334442485884</v>
      </c>
    </row>
    <row r="10" spans="1:2" ht="12.75">
      <c r="A10" s="1">
        <v>2009</v>
      </c>
      <c r="B10" s="37">
        <f>'2003-2013'!Y34</f>
        <v>0.9985783714073999</v>
      </c>
    </row>
    <row r="11" spans="1:2" ht="12.75">
      <c r="A11" s="1">
        <v>2010</v>
      </c>
      <c r="B11" s="37">
        <f>'2003-2013'!T34</f>
        <v>0.9986122561612598</v>
      </c>
    </row>
    <row r="12" spans="1:2" ht="12.75">
      <c r="A12" s="1">
        <v>2010</v>
      </c>
      <c r="B12" s="37">
        <f>'2003-2013'!O34</f>
        <v>0.9980051914387165</v>
      </c>
    </row>
    <row r="13" spans="1:2" ht="12.75">
      <c r="A13" s="1">
        <v>2012</v>
      </c>
      <c r="B13" s="37">
        <f>'2003-2013'!J34</f>
        <v>0.9967063044674012</v>
      </c>
    </row>
    <row r="14" spans="1:2" ht="12.75">
      <c r="A14" s="30">
        <v>2013</v>
      </c>
      <c r="B14" s="216">
        <f>'2003-2013'!E34</f>
        <v>0.9875341599788718</v>
      </c>
    </row>
    <row r="15" spans="1:2" ht="12.75">
      <c r="A15" s="217" t="s">
        <v>125</v>
      </c>
      <c r="B15" s="218">
        <f>AVERAGE(B4:B14)</f>
        <v>0.9970463120552896</v>
      </c>
    </row>
    <row r="16" ht="12.75">
      <c r="A16" s="1"/>
    </row>
    <row r="17" ht="12.75">
      <c r="A17" s="1"/>
    </row>
    <row r="18" ht="12.75">
      <c r="A18" s="1"/>
    </row>
    <row r="19" ht="12.75">
      <c r="A19" s="1"/>
    </row>
    <row r="20" ht="12.75">
      <c r="A20" s="1"/>
    </row>
    <row r="21" ht="12.75">
      <c r="A21" s="1"/>
    </row>
    <row r="22" ht="12.75">
      <c r="A22" s="1"/>
    </row>
    <row r="23" ht="12.75">
      <c r="A23" s="1"/>
    </row>
    <row r="24" ht="12.75">
      <c r="A24" s="1"/>
    </row>
    <row r="25" ht="12.75">
      <c r="A25" s="1"/>
    </row>
    <row r="26" ht="12.75">
      <c r="A26" s="1"/>
    </row>
    <row r="27" ht="12.75">
      <c r="A27" s="1"/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Kyle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Grace Nino</cp:lastModifiedBy>
  <cp:lastPrinted>2013-08-01T15:55:17Z</cp:lastPrinted>
  <dcterms:created xsi:type="dcterms:W3CDTF">2008-10-28T15:22:46Z</dcterms:created>
  <dcterms:modified xsi:type="dcterms:W3CDTF">2013-10-10T04:31:04Z</dcterms:modified>
  <cp:category/>
  <cp:version/>
  <cp:contentType/>
  <cp:contentStatus/>
</cp:coreProperties>
</file>